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0" windowWidth="17130" windowHeight="7440" firstSheet="4" activeTab="8"/>
  </bookViews>
  <sheets>
    <sheet name="presupuesto" sheetId="1" r:id="rId1"/>
    <sheet name="índice" sheetId="2" r:id="rId2"/>
    <sheet name="Hoja1" sheetId="4" r:id="rId3"/>
    <sheet name="Hoja1 (2)" sheetId="5" r:id="rId4"/>
    <sheet name="Hoja1 (3)" sheetId="6" r:id="rId5"/>
    <sheet name="Hoja2" sheetId="7" r:id="rId6"/>
    <sheet name="2016" sheetId="8" r:id="rId7"/>
    <sheet name="evolución 2010-2015" sheetId="3" r:id="rId8"/>
    <sheet name="2016 F" sheetId="9" r:id="rId9"/>
    <sheet name="Programas" sheetId="10" r:id="rId10"/>
    <sheet name="gRAFICOS" sheetId="11" r:id="rId11"/>
    <sheet name="tABLAS" sheetId="12" r:id="rId12"/>
    <sheet name="Hoja6" sheetId="13" r:id="rId13"/>
    <sheet name="Hoja3" sheetId="14" r:id="rId14"/>
  </sheets>
  <calcPr calcId="125725"/>
</workbook>
</file>

<file path=xl/calcChain.xml><?xml version="1.0" encoding="utf-8"?>
<calcChain xmlns="http://schemas.openxmlformats.org/spreadsheetml/2006/main">
  <c r="AH21" i="9"/>
  <c r="Y29"/>
  <c r="W21"/>
  <c r="C19" i="10"/>
  <c r="E19"/>
  <c r="L16"/>
  <c r="L15"/>
  <c r="K16"/>
  <c r="K15"/>
  <c r="U26" i="9" l="1"/>
  <c r="E14" i="10"/>
  <c r="C14"/>
  <c r="C15"/>
  <c r="H42" i="12"/>
  <c r="H41"/>
  <c r="B31" i="10"/>
  <c r="G45" i="9"/>
  <c r="W4" s="1"/>
  <c r="C17" i="10"/>
  <c r="E17" s="1"/>
  <c r="C16"/>
  <c r="E16" s="1"/>
  <c r="C31"/>
  <c r="C33" s="1"/>
  <c r="C18"/>
  <c r="E18" s="1"/>
  <c r="E15"/>
  <c r="C13"/>
  <c r="E13" s="1"/>
  <c r="M37" i="12"/>
  <c r="N27"/>
  <c r="N28"/>
  <c r="N29"/>
  <c r="N30"/>
  <c r="N31"/>
  <c r="N32"/>
  <c r="N33"/>
  <c r="N34"/>
  <c r="N35"/>
  <c r="N36"/>
  <c r="N37"/>
  <c r="M27"/>
  <c r="M28"/>
  <c r="M29"/>
  <c r="M30"/>
  <c r="M31"/>
  <c r="M32"/>
  <c r="M33"/>
  <c r="M34"/>
  <c r="M35"/>
  <c r="M36"/>
  <c r="L27"/>
  <c r="L28"/>
  <c r="L29"/>
  <c r="L30"/>
  <c r="L31"/>
  <c r="L32"/>
  <c r="L33"/>
  <c r="L34"/>
  <c r="L35"/>
  <c r="L36"/>
  <c r="L37"/>
  <c r="K27"/>
  <c r="K28"/>
  <c r="K29"/>
  <c r="K30"/>
  <c r="K31"/>
  <c r="K33"/>
  <c r="K34"/>
  <c r="K35"/>
  <c r="K36"/>
  <c r="K37"/>
  <c r="J27"/>
  <c r="J28"/>
  <c r="J29"/>
  <c r="J30"/>
  <c r="J31"/>
  <c r="J33"/>
  <c r="J34"/>
  <c r="J35"/>
  <c r="J36"/>
  <c r="J37"/>
  <c r="J26"/>
  <c r="K26"/>
  <c r="L26"/>
  <c r="M26"/>
  <c r="N26"/>
  <c r="I27"/>
  <c r="I28"/>
  <c r="I29"/>
  <c r="I30"/>
  <c r="I31"/>
  <c r="I33"/>
  <c r="I34"/>
  <c r="I35"/>
  <c r="I36"/>
  <c r="I37"/>
  <c r="I26"/>
  <c r="H37"/>
  <c r="G37"/>
  <c r="F37"/>
  <c r="E37"/>
  <c r="D37"/>
  <c r="B37"/>
  <c r="C19"/>
  <c r="C11"/>
  <c r="C10"/>
  <c r="C9"/>
  <c r="C6"/>
  <c r="C5"/>
  <c r="O22"/>
  <c r="M22"/>
  <c r="K22"/>
  <c r="I22"/>
  <c r="G22"/>
  <c r="E22"/>
  <c r="C22"/>
  <c r="O18"/>
  <c r="M18"/>
  <c r="K18"/>
  <c r="I18"/>
  <c r="G18"/>
  <c r="E18"/>
  <c r="C18"/>
  <c r="O16"/>
  <c r="M16"/>
  <c r="K16"/>
  <c r="I16"/>
  <c r="G16"/>
  <c r="E16"/>
  <c r="C16"/>
  <c r="O14"/>
  <c r="M14"/>
  <c r="K14"/>
  <c r="I14"/>
  <c r="G14"/>
  <c r="E14"/>
  <c r="C14"/>
  <c r="O8"/>
  <c r="M8"/>
  <c r="K8"/>
  <c r="I8"/>
  <c r="G8"/>
  <c r="E8"/>
  <c r="C8"/>
  <c r="G49" i="11"/>
  <c r="G48"/>
  <c r="G47"/>
  <c r="G46"/>
  <c r="G45"/>
  <c r="G44"/>
  <c r="G43"/>
  <c r="G42"/>
  <c r="G41"/>
  <c r="G40"/>
  <c r="G39"/>
  <c r="C61"/>
  <c r="D61"/>
  <c r="B61"/>
  <c r="C56"/>
  <c r="D56"/>
  <c r="B56"/>
  <c r="C53"/>
  <c r="D53"/>
  <c r="B53"/>
  <c r="C50"/>
  <c r="D50"/>
  <c r="B50"/>
  <c r="C43"/>
  <c r="D43"/>
  <c r="B43"/>
  <c r="C7"/>
  <c r="D7"/>
  <c r="E7"/>
  <c r="F7"/>
  <c r="G7"/>
  <c r="H7"/>
  <c r="I7"/>
  <c r="J7"/>
  <c r="K7"/>
  <c r="L7"/>
  <c r="B7"/>
  <c r="G44" i="9"/>
  <c r="V14" s="1"/>
  <c r="C35"/>
  <c r="D48"/>
  <c r="E5" i="10"/>
  <c r="E6"/>
  <c r="O5" i="11"/>
  <c r="G26"/>
  <c r="G25"/>
  <c r="G24"/>
  <c r="G23"/>
  <c r="G22"/>
  <c r="G21"/>
  <c r="G20"/>
  <c r="G19"/>
  <c r="G18"/>
  <c r="G17"/>
  <c r="G28"/>
  <c r="G27"/>
  <c r="D33"/>
  <c r="D31"/>
  <c r="D29"/>
  <c r="D27"/>
  <c r="D24"/>
  <c r="D23"/>
  <c r="D22"/>
  <c r="D21"/>
  <c r="D19"/>
  <c r="D18"/>
  <c r="D17"/>
  <c r="L21" i="9"/>
  <c r="W13" l="1"/>
  <c r="D31" i="10"/>
  <c r="B33"/>
  <c r="W14" i="9"/>
  <c r="AH14" s="1"/>
  <c r="W5"/>
  <c r="U27"/>
  <c r="W17"/>
  <c r="W7"/>
  <c r="AH7" s="1"/>
  <c r="W20"/>
  <c r="W9"/>
  <c r="AH9" s="1"/>
  <c r="W3"/>
  <c r="W12"/>
  <c r="V6"/>
  <c r="V21"/>
  <c r="V15"/>
  <c r="V11"/>
  <c r="V7"/>
  <c r="V9"/>
  <c r="V17"/>
  <c r="V12"/>
  <c r="V8"/>
  <c r="V4"/>
  <c r="AH4" s="1"/>
  <c r="V19"/>
  <c r="V13"/>
  <c r="V3"/>
  <c r="V5"/>
  <c r="V20"/>
  <c r="W15"/>
  <c r="W11"/>
  <c r="W6"/>
  <c r="W19"/>
  <c r="AH13"/>
  <c r="W8"/>
  <c r="G35"/>
  <c r="M5" s="1"/>
  <c r="G36"/>
  <c r="G37"/>
  <c r="G38"/>
  <c r="G39"/>
  <c r="G40"/>
  <c r="G41"/>
  <c r="G42"/>
  <c r="G43"/>
  <c r="C36"/>
  <c r="C37"/>
  <c r="C38"/>
  <c r="C40"/>
  <c r="C41"/>
  <c r="C42"/>
  <c r="C43"/>
  <c r="C44"/>
  <c r="C45"/>
  <c r="C46"/>
  <c r="D21"/>
  <c r="E21"/>
  <c r="C21"/>
  <c r="N21" s="1"/>
  <c r="D33"/>
  <c r="D32"/>
  <c r="D31"/>
  <c r="D30"/>
  <c r="D29"/>
  <c r="D28"/>
  <c r="D27"/>
  <c r="B21"/>
  <c r="T4" i="8"/>
  <c r="T5"/>
  <c r="T6"/>
  <c r="T7"/>
  <c r="T8"/>
  <c r="T9"/>
  <c r="T10"/>
  <c r="T11"/>
  <c r="T12"/>
  <c r="T13"/>
  <c r="T14"/>
  <c r="T15"/>
  <c r="T16"/>
  <c r="T17"/>
  <c r="T18"/>
  <c r="T19"/>
  <c r="T20"/>
  <c r="T21"/>
  <c r="T3"/>
  <c r="S4"/>
  <c r="S5"/>
  <c r="S6"/>
  <c r="S7"/>
  <c r="S8"/>
  <c r="S9"/>
  <c r="S10"/>
  <c r="S11"/>
  <c r="S12"/>
  <c r="S13"/>
  <c r="S14"/>
  <c r="S15"/>
  <c r="S16"/>
  <c r="S17"/>
  <c r="S18"/>
  <c r="S19"/>
  <c r="S20"/>
  <c r="S21"/>
  <c r="S3"/>
  <c r="R4"/>
  <c r="R5"/>
  <c r="R6"/>
  <c r="R7"/>
  <c r="R8"/>
  <c r="R9"/>
  <c r="R10"/>
  <c r="R11"/>
  <c r="R12"/>
  <c r="R13"/>
  <c r="R14"/>
  <c r="R15"/>
  <c r="R16"/>
  <c r="R17"/>
  <c r="R18"/>
  <c r="R19"/>
  <c r="R20"/>
  <c r="R21"/>
  <c r="R3"/>
  <c r="W25" i="9" l="1"/>
  <c r="AH6"/>
  <c r="W24"/>
  <c r="AH3"/>
  <c r="AH15"/>
  <c r="AH12"/>
  <c r="AH17"/>
  <c r="M3"/>
  <c r="M13"/>
  <c r="M4"/>
  <c r="AH5"/>
  <c r="M14"/>
  <c r="M6"/>
  <c r="AH20"/>
  <c r="M21"/>
  <c r="Y21" s="1"/>
  <c r="M16"/>
  <c r="M7"/>
  <c r="M18"/>
  <c r="M8"/>
  <c r="AH8"/>
  <c r="AH11"/>
  <c r="AH19"/>
  <c r="R4"/>
  <c r="R8"/>
  <c r="R16"/>
  <c r="R3"/>
  <c r="R7"/>
  <c r="R14"/>
  <c r="R21"/>
  <c r="R6"/>
  <c r="R13"/>
  <c r="R18"/>
  <c r="R5"/>
  <c r="R17"/>
  <c r="R9"/>
  <c r="N6"/>
  <c r="N13"/>
  <c r="N18"/>
  <c r="N9"/>
  <c r="N7"/>
  <c r="N5"/>
  <c r="Y5" s="1"/>
  <c r="N17"/>
  <c r="N4"/>
  <c r="N8"/>
  <c r="N16"/>
  <c r="Y16" s="1"/>
  <c r="N3"/>
  <c r="N14"/>
  <c r="S5"/>
  <c r="S9"/>
  <c r="S17"/>
  <c r="AD17" s="1"/>
  <c r="S3"/>
  <c r="S4"/>
  <c r="S8"/>
  <c r="S15"/>
  <c r="S7"/>
  <c r="AD7" s="1"/>
  <c r="S14"/>
  <c r="AD14" s="1"/>
  <c r="S21"/>
  <c r="S6"/>
  <c r="AD6" s="1"/>
  <c r="S19"/>
  <c r="S13"/>
  <c r="O5"/>
  <c r="Z5" s="1"/>
  <c r="O9"/>
  <c r="O18"/>
  <c r="O8"/>
  <c r="Z8" s="1"/>
  <c r="O16"/>
  <c r="Z16" s="1"/>
  <c r="O4"/>
  <c r="O13"/>
  <c r="O17"/>
  <c r="O7"/>
  <c r="O14"/>
  <c r="O6"/>
  <c r="O3"/>
  <c r="T7"/>
  <c r="T13"/>
  <c r="T19"/>
  <c r="T8"/>
  <c r="T6"/>
  <c r="T10"/>
  <c r="T17"/>
  <c r="T21"/>
  <c r="T5"/>
  <c r="T9"/>
  <c r="T15"/>
  <c r="T3"/>
  <c r="T4"/>
  <c r="T14"/>
  <c r="P6"/>
  <c r="AA6" s="1"/>
  <c r="P13"/>
  <c r="P18"/>
  <c r="P5"/>
  <c r="P17"/>
  <c r="P3"/>
  <c r="AA3" s="1"/>
  <c r="P9"/>
  <c r="P7"/>
  <c r="P4"/>
  <c r="P8"/>
  <c r="P16"/>
  <c r="P14"/>
  <c r="AA14" s="1"/>
  <c r="U6"/>
  <c r="U10"/>
  <c r="U17"/>
  <c r="U3"/>
  <c r="U5"/>
  <c r="U9"/>
  <c r="U15"/>
  <c r="U21"/>
  <c r="U4"/>
  <c r="U8"/>
  <c r="U14"/>
  <c r="U20"/>
  <c r="AG20" s="1"/>
  <c r="U7"/>
  <c r="U13"/>
  <c r="U19"/>
  <c r="Q7"/>
  <c r="Q14"/>
  <c r="Q21"/>
  <c r="Q13"/>
  <c r="Q8"/>
  <c r="Q6"/>
  <c r="AB6" s="1"/>
  <c r="Q18"/>
  <c r="Q4"/>
  <c r="Q5"/>
  <c r="AB5" s="1"/>
  <c r="Q9"/>
  <c r="Q17"/>
  <c r="Q3"/>
  <c r="Q16"/>
  <c r="O21"/>
  <c r="Z21" s="1"/>
  <c r="P21"/>
  <c r="M17"/>
  <c r="M9"/>
  <c r="P21" i="8"/>
  <c r="P4"/>
  <c r="P5"/>
  <c r="P6"/>
  <c r="P7"/>
  <c r="P8"/>
  <c r="P9"/>
  <c r="P10"/>
  <c r="P11"/>
  <c r="P12"/>
  <c r="P13"/>
  <c r="P14"/>
  <c r="P15"/>
  <c r="P16"/>
  <c r="P17"/>
  <c r="P18"/>
  <c r="P19"/>
  <c r="P20"/>
  <c r="P3"/>
  <c r="O21"/>
  <c r="O4"/>
  <c r="O5"/>
  <c r="O6"/>
  <c r="O7"/>
  <c r="O8"/>
  <c r="O9"/>
  <c r="O10"/>
  <c r="O11"/>
  <c r="O12"/>
  <c r="O13"/>
  <c r="O14"/>
  <c r="O15"/>
  <c r="O16"/>
  <c r="O17"/>
  <c r="O18"/>
  <c r="O19"/>
  <c r="O20"/>
  <c r="O3"/>
  <c r="N21"/>
  <c r="N4"/>
  <c r="N5"/>
  <c r="N6"/>
  <c r="N7"/>
  <c r="N8"/>
  <c r="N9"/>
  <c r="N10"/>
  <c r="N11"/>
  <c r="N12"/>
  <c r="N13"/>
  <c r="N14"/>
  <c r="N15"/>
  <c r="N16"/>
  <c r="N17"/>
  <c r="N18"/>
  <c r="N19"/>
  <c r="N20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3"/>
  <c r="L4"/>
  <c r="L5"/>
  <c r="L6"/>
  <c r="L7"/>
  <c r="L8"/>
  <c r="L9"/>
  <c r="L10"/>
  <c r="L11"/>
  <c r="L12"/>
  <c r="L13"/>
  <c r="L14"/>
  <c r="L15"/>
  <c r="L16"/>
  <c r="L17"/>
  <c r="L18"/>
  <c r="L19"/>
  <c r="L20"/>
  <c r="L21"/>
  <c r="L3"/>
  <c r="K4"/>
  <c r="K5"/>
  <c r="K6"/>
  <c r="K7"/>
  <c r="K8"/>
  <c r="K9"/>
  <c r="K10"/>
  <c r="K11"/>
  <c r="K12"/>
  <c r="K13"/>
  <c r="K14"/>
  <c r="K15"/>
  <c r="K16"/>
  <c r="K17"/>
  <c r="K18"/>
  <c r="K19"/>
  <c r="K20"/>
  <c r="K21"/>
  <c r="K3"/>
  <c r="D28"/>
  <c r="D29"/>
  <c r="D30"/>
  <c r="D31"/>
  <c r="D32"/>
  <c r="D33"/>
  <c r="D27"/>
  <c r="B21"/>
  <c r="K124" i="6"/>
  <c r="AD21" i="9" l="1"/>
  <c r="Y4"/>
  <c r="AA16"/>
  <c r="Y8"/>
  <c r="AA8"/>
  <c r="Y3"/>
  <c r="AE19"/>
  <c r="AB7"/>
  <c r="Y13"/>
  <c r="Z14"/>
  <c r="Z4"/>
  <c r="Z9"/>
  <c r="AC6"/>
  <c r="AB8"/>
  <c r="AE14"/>
  <c r="AE9"/>
  <c r="AE13"/>
  <c r="Y18"/>
  <c r="AC17"/>
  <c r="AA17"/>
  <c r="Z6"/>
  <c r="Y14"/>
  <c r="Y7"/>
  <c r="Y6"/>
  <c r="AB3"/>
  <c r="AB4"/>
  <c r="AB13"/>
  <c r="AA9"/>
  <c r="AA18"/>
  <c r="AE4"/>
  <c r="AE5"/>
  <c r="AE6"/>
  <c r="AE7"/>
  <c r="Z7"/>
  <c r="AD8"/>
  <c r="AD9"/>
  <c r="AC21"/>
  <c r="AF17"/>
  <c r="AG17"/>
  <c r="AF21"/>
  <c r="AG21"/>
  <c r="AF3"/>
  <c r="AG3"/>
  <c r="AF7"/>
  <c r="AG7"/>
  <c r="AF4"/>
  <c r="AG4"/>
  <c r="AF5"/>
  <c r="AG5"/>
  <c r="AF6"/>
  <c r="AG6"/>
  <c r="AF13"/>
  <c r="AG13"/>
  <c r="AF8"/>
  <c r="AG8"/>
  <c r="AF9"/>
  <c r="AG9"/>
  <c r="AF10"/>
  <c r="AG10"/>
  <c r="AD18"/>
  <c r="AC18"/>
  <c r="AB16"/>
  <c r="AA7"/>
  <c r="AA5"/>
  <c r="Y17"/>
  <c r="AB9"/>
  <c r="AB14"/>
  <c r="AA4"/>
  <c r="AE15"/>
  <c r="AE17"/>
  <c r="Z13"/>
  <c r="Z18"/>
  <c r="AD3"/>
  <c r="Y9"/>
  <c r="AC9"/>
  <c r="AC13"/>
  <c r="AC7"/>
  <c r="AC4"/>
  <c r="AA21"/>
  <c r="AB17"/>
  <c r="AB18"/>
  <c r="AB21"/>
  <c r="AA13"/>
  <c r="AE3"/>
  <c r="AE21"/>
  <c r="AE8"/>
  <c r="Z3"/>
  <c r="Z17"/>
  <c r="AD13"/>
  <c r="AD4"/>
  <c r="AD5"/>
  <c r="AC14"/>
  <c r="AC8"/>
  <c r="AF19"/>
  <c r="AG19"/>
  <c r="AF15"/>
  <c r="AG15"/>
  <c r="AD16"/>
  <c r="AC16"/>
  <c r="AC5"/>
  <c r="AF14"/>
  <c r="AG14"/>
  <c r="AC3"/>
  <c r="M17" i="5"/>
  <c r="N13" i="3"/>
  <c r="N12"/>
  <c r="M19" i="5"/>
  <c r="F4" i="2"/>
  <c r="C12" i="7" l="1"/>
  <c r="E12" s="1"/>
  <c r="N9" i="6"/>
  <c r="N9" i="5"/>
  <c r="I8" i="1"/>
  <c r="K8" s="1"/>
  <c r="G8"/>
  <c r="E8"/>
  <c r="C8"/>
  <c r="P14" i="6" l="1"/>
  <c r="O14"/>
  <c r="M14" l="1"/>
  <c r="L14"/>
  <c r="K14"/>
  <c r="J14"/>
  <c r="I14"/>
  <c r="H14"/>
  <c r="G14"/>
  <c r="F14"/>
  <c r="E14"/>
  <c r="D14"/>
  <c r="C14"/>
  <c r="N13"/>
  <c r="N12"/>
  <c r="N11"/>
  <c r="N10"/>
  <c r="N8"/>
  <c r="N7"/>
  <c r="N6"/>
  <c r="N5"/>
  <c r="N4"/>
  <c r="N3"/>
  <c r="N4" i="5"/>
  <c r="N5"/>
  <c r="N6"/>
  <c r="N7"/>
  <c r="N8"/>
  <c r="N10"/>
  <c r="N11"/>
  <c r="N12"/>
  <c r="N13"/>
  <c r="N14"/>
  <c r="N3"/>
  <c r="M14"/>
  <c r="K14"/>
  <c r="I14"/>
  <c r="G14"/>
  <c r="E14"/>
  <c r="C14"/>
  <c r="J14"/>
  <c r="L14"/>
  <c r="H14"/>
  <c r="F14"/>
  <c r="D14"/>
  <c r="N14" i="6" l="1"/>
  <c r="L26" i="3"/>
  <c r="L22"/>
  <c r="O4" l="1"/>
  <c r="O5"/>
  <c r="O6"/>
  <c r="G8" s="1"/>
  <c r="O7"/>
  <c r="O9"/>
  <c r="C11" i="7" s="1"/>
  <c r="L23" i="3"/>
  <c r="E11" i="7" l="1"/>
  <c r="C13"/>
  <c r="C19" i="3"/>
  <c r="C8"/>
  <c r="I20"/>
  <c r="I8"/>
  <c r="K16"/>
  <c r="F38" s="1"/>
  <c r="K8"/>
  <c r="F30" s="1"/>
  <c r="E15"/>
  <c r="E8"/>
  <c r="C30" s="1"/>
  <c r="C7"/>
  <c r="C15"/>
  <c r="I4"/>
  <c r="I9"/>
  <c r="I15"/>
  <c r="I21"/>
  <c r="K7"/>
  <c r="K14"/>
  <c r="K18"/>
  <c r="E5"/>
  <c r="E10"/>
  <c r="C4"/>
  <c r="C9"/>
  <c r="C17"/>
  <c r="I5"/>
  <c r="I10"/>
  <c r="I16"/>
  <c r="K4"/>
  <c r="K9"/>
  <c r="K20"/>
  <c r="E6"/>
  <c r="E14"/>
  <c r="G20"/>
  <c r="D42" s="1"/>
  <c r="G14"/>
  <c r="G6"/>
  <c r="G9"/>
  <c r="G7"/>
  <c r="G18"/>
  <c r="G10"/>
  <c r="C32" s="1"/>
  <c r="G5"/>
  <c r="G4"/>
  <c r="G16"/>
  <c r="G15"/>
  <c r="C37" s="1"/>
  <c r="C5"/>
  <c r="C10"/>
  <c r="C18"/>
  <c r="I6"/>
  <c r="D28" s="1"/>
  <c r="I11"/>
  <c r="I18"/>
  <c r="K5"/>
  <c r="K10"/>
  <c r="K15"/>
  <c r="K21"/>
  <c r="F43" s="1"/>
  <c r="E4"/>
  <c r="E7"/>
  <c r="B29" s="1"/>
  <c r="E18"/>
  <c r="E19"/>
  <c r="C6"/>
  <c r="C14"/>
  <c r="I7"/>
  <c r="I14"/>
  <c r="K6"/>
  <c r="K11"/>
  <c r="E9"/>
  <c r="E17"/>
  <c r="F29"/>
  <c r="E3" i="2"/>
  <c r="N4" i="1"/>
  <c r="C15" s="1"/>
  <c r="E19"/>
  <c r="E17"/>
  <c r="E9"/>
  <c r="E7"/>
  <c r="N7"/>
  <c r="I18" s="1"/>
  <c r="N6"/>
  <c r="G4" s="1"/>
  <c r="N5"/>
  <c r="E18" s="1"/>
  <c r="C28" i="3" l="1"/>
  <c r="B31"/>
  <c r="B37"/>
  <c r="B30"/>
  <c r="E30"/>
  <c r="D30"/>
  <c r="D36"/>
  <c r="B41"/>
  <c r="D40"/>
  <c r="K22"/>
  <c r="K23" s="1"/>
  <c r="L24" s="1"/>
  <c r="E38"/>
  <c r="C31"/>
  <c r="B27"/>
  <c r="C4" i="1"/>
  <c r="C19"/>
  <c r="E6"/>
  <c r="E15"/>
  <c r="I11"/>
  <c r="C6"/>
  <c r="C17"/>
  <c r="B39" i="3"/>
  <c r="D27"/>
  <c r="C9" i="1"/>
  <c r="C18"/>
  <c r="C10"/>
  <c r="E33" i="3"/>
  <c r="E4" i="1"/>
  <c r="E14"/>
  <c r="I6"/>
  <c r="C5"/>
  <c r="C14"/>
  <c r="C29" i="3"/>
  <c r="C40"/>
  <c r="C36"/>
  <c r="D32"/>
  <c r="F28"/>
  <c r="E28"/>
  <c r="F27"/>
  <c r="E27"/>
  <c r="F42"/>
  <c r="E42"/>
  <c r="E36"/>
  <c r="F36"/>
  <c r="D31"/>
  <c r="F31"/>
  <c r="E31"/>
  <c r="B32"/>
  <c r="E29"/>
  <c r="D29"/>
  <c r="B40"/>
  <c r="E37"/>
  <c r="F37"/>
  <c r="B36"/>
  <c r="E26"/>
  <c r="F26"/>
  <c r="C27"/>
  <c r="I22"/>
  <c r="E32"/>
  <c r="F32"/>
  <c r="B28"/>
  <c r="D38"/>
  <c r="F40"/>
  <c r="E40"/>
  <c r="D37"/>
  <c r="G11" i="1"/>
  <c r="G7"/>
  <c r="G15"/>
  <c r="G21"/>
  <c r="I7"/>
  <c r="I14"/>
  <c r="I20"/>
  <c r="G14"/>
  <c r="G9"/>
  <c r="G16"/>
  <c r="I4"/>
  <c r="K4" s="1"/>
  <c r="I9"/>
  <c r="K9" s="1"/>
  <c r="I15"/>
  <c r="I21"/>
  <c r="E5"/>
  <c r="E10"/>
  <c r="G5"/>
  <c r="G10"/>
  <c r="G18"/>
  <c r="I5"/>
  <c r="K5" s="1"/>
  <c r="I10"/>
  <c r="K10" s="1"/>
  <c r="I16"/>
  <c r="K16" s="1"/>
  <c r="C7"/>
  <c r="G20"/>
  <c r="G6"/>
  <c r="K21"/>
  <c r="K20"/>
  <c r="K18"/>
  <c r="K15"/>
  <c r="K14"/>
  <c r="K7"/>
  <c r="K6"/>
  <c r="F44" i="3" l="1"/>
  <c r="E44"/>
  <c r="L28"/>
  <c r="J22" i="1"/>
  <c r="I22"/>
  <c r="K22" l="1"/>
  <c r="D22" i="3"/>
  <c r="F22"/>
  <c r="H22"/>
  <c r="J22"/>
  <c r="B26" l="1"/>
  <c r="B22"/>
  <c r="C26" l="1"/>
  <c r="C22"/>
  <c r="G22"/>
  <c r="D44" s="1"/>
  <c r="E22"/>
  <c r="B44" l="1"/>
  <c r="E45" s="1"/>
  <c r="C44"/>
  <c r="D26"/>
  <c r="D3" i="2"/>
  <c r="F3"/>
  <c r="C3"/>
  <c r="F22" i="1" l="1"/>
  <c r="D22"/>
  <c r="B22"/>
  <c r="H22" l="1"/>
  <c r="E22" l="1"/>
  <c r="J25" s="1"/>
  <c r="C22" l="1"/>
  <c r="J24" s="1"/>
  <c r="G22"/>
</calcChain>
</file>

<file path=xl/sharedStrings.xml><?xml version="1.0" encoding="utf-8"?>
<sst xmlns="http://schemas.openxmlformats.org/spreadsheetml/2006/main" count="950" uniqueCount="199">
  <si>
    <t>SPD</t>
  </si>
  <si>
    <t>SENDA</t>
  </si>
  <si>
    <t>PDI</t>
  </si>
  <si>
    <t>Carabineros</t>
  </si>
  <si>
    <t>GENCHI</t>
  </si>
  <si>
    <t>SENAME</t>
  </si>
  <si>
    <t>DPP</t>
  </si>
  <si>
    <t>SML</t>
  </si>
  <si>
    <t>MP</t>
  </si>
  <si>
    <t>GENCHI (reinserción y rehabilitación)</t>
  </si>
  <si>
    <t>SENAME (programa administración directa y proyectos nacionales)</t>
  </si>
  <si>
    <t>TOTAL</t>
  </si>
  <si>
    <t>SPD (Centros regionales de atención y orientación a víctimas) *Programa 02 por separado desde 2014</t>
  </si>
  <si>
    <t>Programa de seguridad ciudadana (DSC)</t>
  </si>
  <si>
    <t>CONACE</t>
  </si>
  <si>
    <t>Ley de Presupuestos 2006 (miles de $)</t>
  </si>
  <si>
    <t>Ley de Presupuestos 2010 (miles de $)</t>
  </si>
  <si>
    <t>Ley de Presupuestos 2013 (miles de $)</t>
  </si>
  <si>
    <t>Plan Frontera Norte</t>
  </si>
  <si>
    <t>Presupuesto total</t>
  </si>
  <si>
    <t>Índice 2006=100</t>
  </si>
  <si>
    <t>Ley de Presupuestos 2011 (miles de $)</t>
  </si>
  <si>
    <t>Ley de Presupuestos 2012 (miles de $)</t>
  </si>
  <si>
    <t>Var 2010-2011</t>
  </si>
  <si>
    <t>Var 2011-2012</t>
  </si>
  <si>
    <t>Var 2012-2013</t>
  </si>
  <si>
    <t>Var 2013-2014</t>
  </si>
  <si>
    <t>Ley de Presupuestos 2015 (miles de $) (2)</t>
  </si>
  <si>
    <t>Ley de Presupuestos 2014 (miles de $)</t>
  </si>
  <si>
    <t>Plan Nacional contra el Narcotráfico</t>
  </si>
  <si>
    <t>Plan Microtráfico Cero</t>
  </si>
  <si>
    <t>-</t>
  </si>
  <si>
    <t>Variación real 2014-2015 (2-1)/1</t>
  </si>
  <si>
    <t>IPC</t>
  </si>
  <si>
    <t>Actualización</t>
  </si>
  <si>
    <t>dic 2009 a ago 2014</t>
  </si>
  <si>
    <t>dic 2012 a ago 2014</t>
  </si>
  <si>
    <t>dic 2013 a ago 2014</t>
  </si>
  <si>
    <t>Valor 2014 actualizado al 31/08/2014  (miles de $) (1)</t>
  </si>
  <si>
    <t>dic 2005 a ago 2014*</t>
  </si>
  <si>
    <t>dic 2009 a ago 2014**</t>
  </si>
  <si>
    <t>dic 2012 a ago 2014**</t>
  </si>
  <si>
    <t>dic 2013 a ago 2014**</t>
  </si>
  <si>
    <t>**IPC serie histórica empalmada base 2013=100 (Fuente: Banco Central)</t>
  </si>
  <si>
    <t>*IPC serie histórica base 2008=100 (Fuente: Banco Central)</t>
  </si>
  <si>
    <t>IPC Dic 2009 (base 2013=100)</t>
  </si>
  <si>
    <t>IPC Dic 2012 (base 2013=100)</t>
  </si>
  <si>
    <t>IPC Dic 2013 (base 2013=100)</t>
  </si>
  <si>
    <t>IPC Ago 2014 (base 2013=100)</t>
  </si>
  <si>
    <t>IPC Dic 2005 (base 2008=100)</t>
  </si>
  <si>
    <t>IPC Dic 2009 (base 2008=100)</t>
  </si>
  <si>
    <t>2015*</t>
  </si>
  <si>
    <t>Valor 2014 actualizado al 31/09/2014 (miles de $)</t>
  </si>
  <si>
    <t>Valor 2014 actualizado al 31/09/2014  (miles de $)</t>
  </si>
  <si>
    <t>Ley de Presupuestos 2015 (miles de $)</t>
  </si>
  <si>
    <t>Var 2014-2015</t>
  </si>
  <si>
    <t>Total en dólar (valor 06oct=598,64)</t>
  </si>
  <si>
    <t>IPC Dic 2010 (base 2013=100)</t>
  </si>
  <si>
    <t>IPC Dic 2011 (base 2013=100)</t>
  </si>
  <si>
    <t>dic 2010 a ago 2014</t>
  </si>
  <si>
    <t>dic 2011 a ago 2014</t>
  </si>
  <si>
    <t>Carabineros de Chile</t>
  </si>
  <si>
    <t>Defensoría Penal Pública</t>
  </si>
  <si>
    <t>Gendarmería de Chile (incluye reinserción)</t>
  </si>
  <si>
    <t>Ministerio Público</t>
  </si>
  <si>
    <t>Policía de Investigaciones</t>
  </si>
  <si>
    <t>Servicio Médico Legal</t>
  </si>
  <si>
    <t>Subsecretaría de Interior</t>
  </si>
  <si>
    <t>VAR 2015-2014</t>
  </si>
  <si>
    <t>SPD (incluye centros de víctimas)</t>
  </si>
  <si>
    <t>Ministerio de Justicia (subsidio concesiones)</t>
  </si>
  <si>
    <t>Valor 2006 actualizado al 31/08/2014 (miles de $)</t>
  </si>
  <si>
    <t>Valor 2010 actualizado al 31/08/2014 (miles de $)</t>
  </si>
  <si>
    <t>Valor 2013 actualizado al 31/08/2014 (miles de $)</t>
  </si>
  <si>
    <t>Valor 2010 actualizado al 31/09/2014 (miles de $)</t>
  </si>
  <si>
    <t>Valor 2011 actualizado al 31/09/2014 (miles de $)</t>
  </si>
  <si>
    <t>Valor 2012 actualizado al 31/09/2014 (miles de $)</t>
  </si>
  <si>
    <t>Valor 2013 actualizado al 31/09/2014  (miles de $)</t>
  </si>
  <si>
    <t>Valor 2006 actualizado al 31/09/2014 (miles de $)</t>
  </si>
  <si>
    <t>Ministerio Justicia (subsidio concesiones)</t>
  </si>
  <si>
    <t>Senda</t>
  </si>
  <si>
    <t>Sename (incluye programas)</t>
  </si>
  <si>
    <t>Ámbito de Acción</t>
  </si>
  <si>
    <t>(Valor nominal)</t>
  </si>
  <si>
    <t>Variación %</t>
  </si>
  <si>
    <t>Subvención Proyectos Área Protección a Menores</t>
  </si>
  <si>
    <t>Subvención Proyectos Área Justicia Juvenil</t>
  </si>
  <si>
    <t>Total</t>
  </si>
  <si>
    <t>(Valor actualizado)</t>
  </si>
  <si>
    <t>Subsecretaría de Interior (Planes drogas)</t>
  </si>
  <si>
    <t>Sename (incluye prog. adm, directa)</t>
  </si>
  <si>
    <r>
      <t>ASIGNACIÓN PRESUPUESTARIA SEGÚN LEY DE PRESUPUESTO 2010 -2014 (</t>
    </r>
    <r>
      <rPr>
        <sz val="11"/>
        <color rgb="FF000000"/>
        <rFont val="Cambria"/>
        <family val="1"/>
      </rPr>
      <t>en miles de $ actualizados al 31/12/2014</t>
    </r>
    <r>
      <rPr>
        <b/>
        <sz val="11"/>
        <color rgb="FF000000"/>
        <rFont val="Cambria"/>
        <family val="1"/>
      </rPr>
      <t>)</t>
    </r>
  </si>
  <si>
    <t>INSTITUCIÓN</t>
  </si>
  <si>
    <t>Variación 2014-2010</t>
  </si>
  <si>
    <t>Servicio Nacional de menores (incluye programas)</t>
  </si>
  <si>
    <t xml:space="preserve">Serv. Nac. para la Prevención y Rehabilitación del Consumo de Drogas y Alcohol </t>
  </si>
  <si>
    <t>INSTITUCIONES Y PROGRAMAS</t>
  </si>
  <si>
    <t>Ley de Presupuestos 2016 (miles de $)</t>
  </si>
  <si>
    <t>IPC serie histórica empalmada base 2013=100</t>
  </si>
  <si>
    <t>Periodo</t>
  </si>
  <si>
    <t>1. IPC serie histórica empalmada base 2013=100</t>
  </si>
  <si>
    <t>NOMINAL</t>
  </si>
  <si>
    <t>REAL</t>
  </si>
  <si>
    <t>Ley de Presupuestos 2016(miles de $)</t>
  </si>
  <si>
    <t>Var 2015-2016</t>
  </si>
  <si>
    <t>Ley de Presupuestos 2007 (miles de $)</t>
  </si>
  <si>
    <t>Ley de Presupuestos 2008 (miles de $)</t>
  </si>
  <si>
    <t>Ley de Presupuestos 2009 (miles de $)</t>
  </si>
  <si>
    <t>Año</t>
  </si>
  <si>
    <t>ipc empalmado</t>
  </si>
  <si>
    <t>var</t>
  </si>
  <si>
    <t>Var 2006-2007</t>
  </si>
  <si>
    <t>Var 2007-2008</t>
  </si>
  <si>
    <t>Var 2008-2009</t>
  </si>
  <si>
    <t>Var 2009-2010</t>
  </si>
  <si>
    <t>ENUSC</t>
  </si>
  <si>
    <t>Plan Comunal de Seguridad Pública</t>
  </si>
  <si>
    <t>Glosa</t>
  </si>
  <si>
    <t>Programas de Prevención en Seguridad Ciudadana</t>
  </si>
  <si>
    <t>Programa de gestión en seguridad ciudadana</t>
  </si>
  <si>
    <t>Presupuesto en Seguridad</t>
  </si>
  <si>
    <t>EVOLUCION</t>
  </si>
  <si>
    <t>Genchi (incluye reincersión)</t>
  </si>
  <si>
    <t>Subsecretaría Interios (Planes Drogas)</t>
  </si>
  <si>
    <t>SPD (Incluye centro de víctimas)</t>
  </si>
  <si>
    <t>SENAME (Incluye prog. Adm directa)</t>
  </si>
  <si>
    <t>% del total</t>
  </si>
  <si>
    <t>Total Gob</t>
  </si>
  <si>
    <t>%</t>
  </si>
  <si>
    <t>Var 2016-2015</t>
  </si>
  <si>
    <t xml:space="preserve">Programas de rehincercion y </t>
  </si>
  <si>
    <t>Institución</t>
  </si>
  <si>
    <t>Programa</t>
  </si>
  <si>
    <t>Genchi</t>
  </si>
  <si>
    <t>Min Interior Drogas</t>
  </si>
  <si>
    <t>senda/conace</t>
  </si>
  <si>
    <t>spd o programa seguridad</t>
  </si>
  <si>
    <t>GENCHI (considera reinserción y rehabilitación)</t>
  </si>
  <si>
    <t>Subsecretaría del Interior (Planes Drogas)</t>
  </si>
  <si>
    <t>SENAME (considera programa administración directa y proyectos nacionales)</t>
  </si>
  <si>
    <t>SENDA (EX conace)</t>
  </si>
  <si>
    <t>SPD Ex Programa de Seguridad Ciudadana (Centros regionales de atención y orientación a víctimas) *Programa 02 por separado desde 2014</t>
  </si>
  <si>
    <t>Total 2015</t>
  </si>
  <si>
    <t>Total 2016</t>
  </si>
  <si>
    <t>Programa de Reinserción Social en Convenio con Ministerio del Interior</t>
  </si>
  <si>
    <t>Programa de Reinserción Laboral en Convenio con Ministerio del Interior</t>
  </si>
  <si>
    <t>Genchi (incluye reincerción)</t>
  </si>
  <si>
    <t xml:space="preserve">Subvenciones </t>
  </si>
  <si>
    <t>Macul</t>
  </si>
  <si>
    <t>Peñalolén</t>
  </si>
  <si>
    <t>La Cisterna</t>
  </si>
  <si>
    <t>Santiago</t>
  </si>
  <si>
    <t>San Miguel</t>
  </si>
  <si>
    <t>La Reina</t>
  </si>
  <si>
    <t>El Bosque</t>
  </si>
  <si>
    <t>La Florida</t>
  </si>
  <si>
    <t>La Granja</t>
  </si>
  <si>
    <t>Independencia</t>
  </si>
  <si>
    <t>San Joaquín</t>
  </si>
  <si>
    <t>Puente Alto</t>
  </si>
  <si>
    <t>Huechuraba</t>
  </si>
  <si>
    <t>Estación Central</t>
  </si>
  <si>
    <t>Ñuñoa</t>
  </si>
  <si>
    <t>Recoleta</t>
  </si>
  <si>
    <t>Providencia</t>
  </si>
  <si>
    <t>Pedro Aguirre Cerda</t>
  </si>
  <si>
    <t>Vitacura</t>
  </si>
  <si>
    <t>La Pintana</t>
  </si>
  <si>
    <t>Lo Espejo</t>
  </si>
  <si>
    <t>Quinta Normal</t>
  </si>
  <si>
    <t>San Bernardo</t>
  </si>
  <si>
    <t>Lo Prado</t>
  </si>
  <si>
    <t>San Ramón</t>
  </si>
  <si>
    <t>Las Condes</t>
  </si>
  <si>
    <t>Renca</t>
  </si>
  <si>
    <t>Lo Barnechea</t>
  </si>
  <si>
    <t>Pudahuel</t>
  </si>
  <si>
    <t>Conchalí</t>
  </si>
  <si>
    <t>Maipú</t>
  </si>
  <si>
    <t>Cerro Navia</t>
  </si>
  <si>
    <t>Cerrillos</t>
  </si>
  <si>
    <t>Quilicura</t>
  </si>
  <si>
    <t>Robo violencia o Intimidación</t>
  </si>
  <si>
    <t>Robo por sorpresa</t>
  </si>
  <si>
    <t>Robo lugar habitado</t>
  </si>
  <si>
    <t>Robo lugar no habitado</t>
  </si>
  <si>
    <t>Robo de vehículo</t>
  </si>
  <si>
    <t>Robo de accesorio vehículo</t>
  </si>
  <si>
    <t>Hurtos</t>
  </si>
  <si>
    <t>Z*</t>
  </si>
  <si>
    <t>Variación 
2015/2014</t>
  </si>
  <si>
    <t>Comuna</t>
  </si>
  <si>
    <t xml:space="preserve">295.313.356
</t>
  </si>
  <si>
    <t xml:space="preserve">38.487.829
</t>
  </si>
  <si>
    <t xml:space="preserve">40.855.757
</t>
  </si>
  <si>
    <t xml:space="preserve">63.594.515
</t>
  </si>
  <si>
    <t>Presupueto 2016</t>
  </si>
  <si>
    <t>Presupúpuesto p/c</t>
  </si>
  <si>
    <t>Población proyectada 2016</t>
  </si>
</sst>
</file>

<file path=xl/styles.xml><?xml version="1.0" encoding="utf-8"?>
<styleSheet xmlns="http://schemas.openxmlformats.org/spreadsheetml/2006/main">
  <numFmts count="13">
    <numFmt numFmtId="6" formatCode="&quot;$&quot;\ #,##0;[Red]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\ #,##0"/>
    <numFmt numFmtId="165" formatCode="#,##0.000"/>
    <numFmt numFmtId="166" formatCode="0.0%"/>
    <numFmt numFmtId="167" formatCode="#,###"/>
    <numFmt numFmtId="168" formatCode="mmm\.yyyy"/>
    <numFmt numFmtId="169" formatCode="yyyy"/>
    <numFmt numFmtId="170" formatCode="0.0"/>
    <numFmt numFmtId="171" formatCode="&quot;$&quot;\ #,##0.00"/>
    <numFmt numFmtId="172" formatCode="_-&quot;$&quot;\ * #,##0_-;\-&quot;$&quot;\ * #,##0_-;_-&quot;$&quot;\ * &quot;-&quot;??_-;_-@_-"/>
    <numFmt numFmtId="173" formatCode="_-&quot;$&quot;\ * #,##0.000_-;\-&quot;$&quot;\ * #,##0.000_-;_-&quot;$&quot;\ 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i/>
      <sz val="9"/>
      <color rgb="FF000000"/>
      <name val="Calibri"/>
      <family val="2"/>
    </font>
    <font>
      <b/>
      <i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0"/>
      <color rgb="FF000000"/>
      <name val="Cambria"/>
      <family val="1"/>
    </font>
    <font>
      <sz val="10"/>
      <color rgb="FF000000"/>
      <name val="Cambria"/>
      <family val="1"/>
    </font>
    <font>
      <sz val="10"/>
      <color theme="1"/>
      <name val="Times New Roman"/>
      <family val="1"/>
    </font>
    <font>
      <b/>
      <sz val="10"/>
      <name val="Arial"/>
      <family val="2"/>
    </font>
    <font>
      <sz val="10"/>
      <name val="Arial Unicode MS"/>
      <family val="2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name val="Arial Unicode MS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/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9BBB59"/>
      </left>
      <right/>
      <top/>
      <bottom style="medium">
        <color rgb="FF9BBB59"/>
      </bottom>
      <diagonal/>
    </border>
    <border>
      <left/>
      <right/>
      <top/>
      <bottom style="medium">
        <color rgb="FF9BBB59"/>
      </bottom>
      <diagonal/>
    </border>
    <border>
      <left style="medium">
        <color rgb="FF9BBB59"/>
      </left>
      <right style="medium">
        <color rgb="FF9BBB59"/>
      </right>
      <top style="medium">
        <color rgb="FF9BBB59"/>
      </top>
      <bottom style="medium">
        <color rgb="FF9BBB5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</cellStyleXfs>
  <cellXfs count="273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left" wrapText="1" readingOrder="1"/>
    </xf>
    <xf numFmtId="0" fontId="5" fillId="0" borderId="6" xfId="0" applyFont="1" applyBorder="1" applyAlignment="1">
      <alignment horizontal="center" wrapText="1" readingOrder="1"/>
    </xf>
    <xf numFmtId="0" fontId="5" fillId="0" borderId="7" xfId="0" applyFont="1" applyBorder="1" applyAlignment="1">
      <alignment horizontal="center" wrapText="1" readingOrder="1"/>
    </xf>
    <xf numFmtId="0" fontId="5" fillId="0" borderId="8" xfId="0" applyFont="1" applyBorder="1" applyAlignment="1">
      <alignment horizontal="center" wrapText="1" readingOrder="1"/>
    </xf>
    <xf numFmtId="6" fontId="4" fillId="0" borderId="1" xfId="0" applyNumberFormat="1" applyFont="1" applyBorder="1" applyAlignment="1">
      <alignment horizontal="center" vertical="center" wrapText="1" readingOrder="1"/>
    </xf>
    <xf numFmtId="6" fontId="4" fillId="0" borderId="9" xfId="0" applyNumberFormat="1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wrapText="1" readingOrder="1"/>
    </xf>
    <xf numFmtId="0" fontId="2" fillId="0" borderId="0" xfId="0" applyNumberFormat="1" applyFont="1"/>
    <xf numFmtId="164" fontId="2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7" fontId="2" fillId="0" borderId="0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wrapText="1" readingOrder="1"/>
    </xf>
    <xf numFmtId="1" fontId="8" fillId="0" borderId="11" xfId="0" applyNumberFormat="1" applyFont="1" applyBorder="1" applyAlignment="1">
      <alignment horizontal="center" readingOrder="1"/>
    </xf>
    <xf numFmtId="1" fontId="8" fillId="0" borderId="12" xfId="0" applyNumberFormat="1" applyFont="1" applyBorder="1" applyAlignment="1">
      <alignment horizontal="center" readingOrder="1"/>
    </xf>
    <xf numFmtId="164" fontId="2" fillId="0" borderId="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164" fontId="0" fillId="0" borderId="0" xfId="0" applyNumberFormat="1"/>
    <xf numFmtId="164" fontId="2" fillId="0" borderId="1" xfId="0" applyNumberFormat="1" applyFont="1" applyFill="1" applyBorder="1" applyAlignment="1">
      <alignment horizontal="right" vertical="center" wrapText="1"/>
    </xf>
    <xf numFmtId="166" fontId="2" fillId="0" borderId="1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 wrapText="1"/>
    </xf>
    <xf numFmtId="0" fontId="9" fillId="5" borderId="15" xfId="0" applyFont="1" applyFill="1" applyBorder="1" applyAlignment="1">
      <alignment horizontal="center" wrapText="1" readingOrder="1"/>
    </xf>
    <xf numFmtId="0" fontId="9" fillId="5" borderId="16" xfId="0" applyFont="1" applyFill="1" applyBorder="1" applyAlignment="1">
      <alignment horizontal="center" wrapText="1" readingOrder="1"/>
    </xf>
    <xf numFmtId="0" fontId="10" fillId="5" borderId="14" xfId="0" applyFont="1" applyFill="1" applyBorder="1" applyAlignment="1">
      <alignment horizontal="left" wrapText="1" readingOrder="1"/>
    </xf>
    <xf numFmtId="3" fontId="10" fillId="5" borderId="14" xfId="0" applyNumberFormat="1" applyFont="1" applyFill="1" applyBorder="1" applyAlignment="1">
      <alignment horizontal="center" wrapText="1" readingOrder="1"/>
    </xf>
    <xf numFmtId="10" fontId="10" fillId="5" borderId="14" xfId="0" applyNumberFormat="1" applyFont="1" applyFill="1" applyBorder="1" applyAlignment="1">
      <alignment horizontal="center" wrapText="1" readingOrder="1"/>
    </xf>
    <xf numFmtId="0" fontId="10" fillId="5" borderId="14" xfId="0" applyFont="1" applyFill="1" applyBorder="1" applyAlignment="1">
      <alignment horizontal="center" wrapText="1" readingOrder="1"/>
    </xf>
    <xf numFmtId="166" fontId="10" fillId="5" borderId="14" xfId="0" applyNumberFormat="1" applyFont="1" applyFill="1" applyBorder="1" applyAlignment="1">
      <alignment horizontal="center" wrapText="1" readingOrder="1"/>
    </xf>
    <xf numFmtId="43" fontId="2" fillId="0" borderId="0" xfId="2" applyFont="1"/>
    <xf numFmtId="166" fontId="2" fillId="0" borderId="0" xfId="1" applyNumberFormat="1" applyFont="1"/>
    <xf numFmtId="10" fontId="0" fillId="0" borderId="0" xfId="1" applyNumberFormat="1" applyFont="1"/>
    <xf numFmtId="166" fontId="2" fillId="0" borderId="0" xfId="1" applyNumberFormat="1" applyFont="1" applyAlignment="1">
      <alignment vertical="center"/>
    </xf>
    <xf numFmtId="164" fontId="0" fillId="2" borderId="0" xfId="0" applyNumberFormat="1" applyFill="1"/>
    <xf numFmtId="0" fontId="0" fillId="2" borderId="0" xfId="0" applyFill="1"/>
    <xf numFmtId="10" fontId="0" fillId="2" borderId="0" xfId="1" applyNumberFormat="1" applyFont="1" applyFill="1"/>
    <xf numFmtId="0" fontId="0" fillId="0" borderId="0" xfId="0" applyAlignment="1">
      <alignment vertical="center"/>
    </xf>
    <xf numFmtId="0" fontId="13" fillId="6" borderId="19" xfId="0" applyFont="1" applyFill="1" applyBorder="1" applyAlignment="1">
      <alignment horizontal="left" vertical="center" wrapText="1"/>
    </xf>
    <xf numFmtId="0" fontId="14" fillId="7" borderId="19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 wrapText="1"/>
    </xf>
    <xf numFmtId="6" fontId="14" fillId="7" borderId="19" xfId="0" applyNumberFormat="1" applyFont="1" applyFill="1" applyBorder="1" applyAlignment="1">
      <alignment horizontal="center" vertical="center" wrapText="1"/>
    </xf>
    <xf numFmtId="6" fontId="13" fillId="6" borderId="19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0" fontId="14" fillId="7" borderId="19" xfId="0" applyNumberFormat="1" applyFont="1" applyFill="1" applyBorder="1" applyAlignment="1">
      <alignment horizontal="center" vertical="center" wrapText="1"/>
    </xf>
    <xf numFmtId="10" fontId="13" fillId="6" borderId="19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17" fontId="2" fillId="0" borderId="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167" fontId="15" fillId="0" borderId="20" xfId="0" applyNumberFormat="1" applyFont="1" applyBorder="1"/>
    <xf numFmtId="0" fontId="16" fillId="0" borderId="0" xfId="0" applyFont="1"/>
    <xf numFmtId="0" fontId="17" fillId="8" borderId="21" xfId="0" applyFont="1" applyFill="1" applyBorder="1" applyAlignment="1">
      <alignment wrapText="1"/>
    </xf>
    <xf numFmtId="4" fontId="17" fillId="8" borderId="21" xfId="0" applyNumberFormat="1" applyFont="1" applyFill="1" applyBorder="1" applyAlignment="1">
      <alignment wrapText="1"/>
    </xf>
    <xf numFmtId="4" fontId="0" fillId="0" borderId="0" xfId="0" applyNumberFormat="1"/>
    <xf numFmtId="168" fontId="17" fillId="0" borderId="21" xfId="0" applyNumberFormat="1" applyFont="1" applyBorder="1" applyAlignment="1">
      <alignment wrapText="1"/>
    </xf>
    <xf numFmtId="4" fontId="17" fillId="0" borderId="21" xfId="0" applyNumberFormat="1" applyFont="1" applyBorder="1" applyAlignment="1">
      <alignment wrapText="1"/>
    </xf>
    <xf numFmtId="2" fontId="2" fillId="0" borderId="0" xfId="0" applyNumberFormat="1" applyFont="1" applyAlignment="1">
      <alignment horizontal="left" vertical="center"/>
    </xf>
    <xf numFmtId="0" fontId="3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9" fontId="0" fillId="0" borderId="0" xfId="1" applyFont="1" applyAlignment="1">
      <alignment vertical="center"/>
    </xf>
    <xf numFmtId="3" fontId="2" fillId="0" borderId="1" xfId="0" applyNumberFormat="1" applyFont="1" applyBorder="1"/>
    <xf numFmtId="0" fontId="0" fillId="0" borderId="0" xfId="0" applyAlignment="1">
      <alignment horizontal="right" vertical="center"/>
    </xf>
    <xf numFmtId="171" fontId="2" fillId="0" borderId="1" xfId="0" applyNumberFormat="1" applyFont="1" applyBorder="1" applyAlignment="1">
      <alignment vertical="center"/>
    </xf>
    <xf numFmtId="44" fontId="2" fillId="0" borderId="1" xfId="3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10" borderId="23" xfId="0" applyFont="1" applyFill="1" applyBorder="1" applyAlignment="1">
      <alignment horizontal="center" vertical="center" wrapText="1"/>
    </xf>
    <xf numFmtId="166" fontId="2" fillId="0" borderId="23" xfId="1" applyNumberFormat="1" applyFont="1" applyBorder="1" applyAlignment="1">
      <alignment vertical="center"/>
    </xf>
    <xf numFmtId="171" fontId="2" fillId="3" borderId="1" xfId="0" applyNumberFormat="1" applyFont="1" applyFill="1" applyBorder="1" applyAlignment="1">
      <alignment vertical="center"/>
    </xf>
    <xf numFmtId="44" fontId="2" fillId="3" borderId="1" xfId="3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71" fontId="3" fillId="0" borderId="1" xfId="0" applyNumberFormat="1" applyFont="1" applyBorder="1" applyAlignment="1">
      <alignment vertical="center"/>
    </xf>
    <xf numFmtId="44" fontId="3" fillId="0" borderId="1" xfId="3" applyFont="1" applyBorder="1" applyAlignment="1">
      <alignment vertical="center"/>
    </xf>
    <xf numFmtId="166" fontId="3" fillId="0" borderId="23" xfId="1" applyNumberFormat="1" applyFont="1" applyBorder="1" applyAlignment="1">
      <alignment vertical="center"/>
    </xf>
    <xf numFmtId="169" fontId="18" fillId="11" borderId="23" xfId="0" applyNumberFormat="1" applyFont="1" applyFill="1" applyBorder="1" applyAlignment="1">
      <alignment wrapText="1"/>
    </xf>
    <xf numFmtId="2" fontId="0" fillId="11" borderId="23" xfId="0" applyNumberFormat="1" applyFill="1" applyBorder="1" applyAlignment="1">
      <alignment horizontal="center" vertical="center"/>
    </xf>
    <xf numFmtId="4" fontId="0" fillId="11" borderId="23" xfId="0" applyNumberFormat="1" applyFill="1" applyBorder="1" applyAlignment="1">
      <alignment horizontal="center" vertical="center"/>
    </xf>
    <xf numFmtId="170" fontId="0" fillId="11" borderId="23" xfId="0" applyNumberFormat="1" applyFill="1" applyBorder="1" applyAlignment="1">
      <alignment horizontal="center" vertical="center"/>
    </xf>
    <xf numFmtId="0" fontId="18" fillId="11" borderId="23" xfId="0" applyFont="1" applyFill="1" applyBorder="1" applyAlignment="1">
      <alignment horizontal="right" vertical="center"/>
    </xf>
    <xf numFmtId="0" fontId="19" fillId="11" borderId="23" xfId="0" applyFont="1" applyFill="1" applyBorder="1" applyAlignment="1">
      <alignment horizontal="center" vertical="center"/>
    </xf>
    <xf numFmtId="3" fontId="0" fillId="0" borderId="0" xfId="0" applyNumberFormat="1"/>
    <xf numFmtId="3" fontId="2" fillId="0" borderId="23" xfId="0" applyNumberFormat="1" applyFont="1" applyBorder="1"/>
    <xf numFmtId="3" fontId="2" fillId="0" borderId="23" xfId="0" applyNumberFormat="1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3" fontId="3" fillId="0" borderId="23" xfId="0" applyNumberFormat="1" applyFont="1" applyBorder="1" applyAlignment="1">
      <alignment vertical="center"/>
    </xf>
    <xf numFmtId="172" fontId="2" fillId="0" borderId="1" xfId="3" applyNumberFormat="1" applyFont="1" applyBorder="1" applyAlignment="1">
      <alignment vertical="center"/>
    </xf>
    <xf numFmtId="172" fontId="2" fillId="3" borderId="1" xfId="3" applyNumberFormat="1" applyFont="1" applyFill="1" applyBorder="1" applyAlignment="1">
      <alignment vertical="center"/>
    </xf>
    <xf numFmtId="172" fontId="3" fillId="0" borderId="1" xfId="3" applyNumberFormat="1" applyFont="1" applyBorder="1" applyAlignment="1">
      <alignment vertical="center"/>
    </xf>
    <xf numFmtId="3" fontId="2" fillId="0" borderId="23" xfId="0" applyNumberFormat="1" applyFont="1" applyFill="1" applyBorder="1"/>
    <xf numFmtId="0" fontId="0" fillId="0" borderId="0" xfId="0" applyAlignment="1">
      <alignment wrapText="1"/>
    </xf>
    <xf numFmtId="0" fontId="19" fillId="0" borderId="0" xfId="0" applyFont="1" applyAlignment="1">
      <alignment wrapText="1"/>
    </xf>
    <xf numFmtId="10" fontId="3" fillId="0" borderId="23" xfId="1" applyNumberFormat="1" applyFont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172" fontId="0" fillId="0" borderId="0" xfId="0" applyNumberFormat="1"/>
    <xf numFmtId="166" fontId="0" fillId="0" borderId="0" xfId="0" applyNumberFormat="1"/>
    <xf numFmtId="0" fontId="19" fillId="0" borderId="0" xfId="0" applyFont="1"/>
    <xf numFmtId="9" fontId="0" fillId="0" borderId="0" xfId="1" applyFont="1"/>
    <xf numFmtId="166" fontId="0" fillId="0" borderId="0" xfId="1" applyNumberFormat="1" applyFont="1"/>
    <xf numFmtId="0" fontId="0" fillId="0" borderId="0" xfId="1" applyNumberFormat="1" applyFont="1"/>
    <xf numFmtId="172" fontId="0" fillId="0" borderId="23" xfId="0" applyNumberFormat="1" applyBorder="1"/>
    <xf numFmtId="0" fontId="0" fillId="0" borderId="23" xfId="0" applyBorder="1"/>
    <xf numFmtId="166" fontId="0" fillId="0" borderId="23" xfId="1" applyNumberFormat="1" applyFont="1" applyBorder="1"/>
    <xf numFmtId="172" fontId="0" fillId="0" borderId="0" xfId="0" applyNumberFormat="1" applyAlignment="1">
      <alignment wrapText="1"/>
    </xf>
    <xf numFmtId="0" fontId="3" fillId="3" borderId="23" xfId="0" applyFont="1" applyFill="1" applyBorder="1" applyAlignment="1">
      <alignment wrapText="1"/>
    </xf>
    <xf numFmtId="0" fontId="3" fillId="0" borderId="0" xfId="0" applyFont="1" applyAlignment="1">
      <alignment horizontal="right" vertical="top" wrapText="1"/>
    </xf>
    <xf numFmtId="3" fontId="3" fillId="0" borderId="0" xfId="0" applyNumberFormat="1" applyFont="1" applyAlignment="1">
      <alignment horizontal="right" vertical="top" wrapText="1"/>
    </xf>
    <xf numFmtId="16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0" fillId="0" borderId="23" xfId="0" applyBorder="1" applyAlignment="1">
      <alignment wrapText="1"/>
    </xf>
    <xf numFmtId="169" fontId="0" fillId="0" borderId="0" xfId="0" applyNumberFormat="1"/>
    <xf numFmtId="2" fontId="0" fillId="0" borderId="0" xfId="0" applyNumberFormat="1"/>
    <xf numFmtId="170" fontId="0" fillId="0" borderId="0" xfId="0" applyNumberFormat="1"/>
    <xf numFmtId="0" fontId="19" fillId="12" borderId="23" xfId="0" applyFont="1" applyFill="1" applyBorder="1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3" fontId="20" fillId="0" borderId="0" xfId="0" applyNumberFormat="1" applyFont="1"/>
    <xf numFmtId="164" fontId="2" fillId="13" borderId="1" xfId="0" applyNumberFormat="1" applyFont="1" applyFill="1" applyBorder="1" applyAlignment="1">
      <alignment vertical="center"/>
    </xf>
    <xf numFmtId="168" fontId="21" fillId="0" borderId="24" xfId="0" applyNumberFormat="1" applyFont="1" applyBorder="1" applyAlignment="1">
      <alignment wrapText="1"/>
    </xf>
    <xf numFmtId="168" fontId="0" fillId="0" borderId="24" xfId="0" applyNumberFormat="1" applyBorder="1" applyAlignment="1">
      <alignment wrapText="1"/>
    </xf>
    <xf numFmtId="4" fontId="22" fillId="0" borderId="24" xfId="0" applyNumberFormat="1" applyFont="1" applyBorder="1" applyAlignment="1">
      <alignment wrapText="1"/>
    </xf>
    <xf numFmtId="2" fontId="22" fillId="0" borderId="23" xfId="0" applyNumberFormat="1" applyFont="1" applyBorder="1" applyAlignment="1">
      <alignment horizontal="right" vertical="center"/>
    </xf>
    <xf numFmtId="0" fontId="22" fillId="0" borderId="23" xfId="0" applyFont="1" applyBorder="1" applyAlignment="1">
      <alignment horizontal="right" vertical="center"/>
    </xf>
    <xf numFmtId="4" fontId="22" fillId="0" borderId="23" xfId="0" applyNumberFormat="1" applyFont="1" applyBorder="1" applyAlignment="1">
      <alignment horizontal="right" vertical="center"/>
    </xf>
    <xf numFmtId="170" fontId="22" fillId="0" borderId="23" xfId="0" applyNumberFormat="1" applyFont="1" applyBorder="1" applyAlignment="1">
      <alignment horizontal="right" vertical="center"/>
    </xf>
    <xf numFmtId="0" fontId="22" fillId="0" borderId="0" xfId="0" applyFont="1"/>
    <xf numFmtId="170" fontId="0" fillId="11" borderId="24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8" fontId="0" fillId="0" borderId="0" xfId="0" applyNumberFormat="1" applyBorder="1" applyAlignment="1">
      <alignment wrapText="1"/>
    </xf>
    <xf numFmtId="4" fontId="0" fillId="0" borderId="0" xfId="0" applyNumberFormat="1" applyBorder="1" applyAlignment="1">
      <alignment wrapText="1"/>
    </xf>
    <xf numFmtId="171" fontId="0" fillId="0" borderId="0" xfId="0" applyNumberFormat="1"/>
    <xf numFmtId="0" fontId="19" fillId="0" borderId="23" xfId="0" applyFont="1" applyBorder="1"/>
    <xf numFmtId="0" fontId="0" fillId="0" borderId="23" xfId="0" applyFont="1" applyBorder="1" applyAlignment="1">
      <alignment wrapText="1"/>
    </xf>
    <xf numFmtId="173" fontId="0" fillId="0" borderId="23" xfId="0" applyNumberFormat="1" applyFont="1" applyBorder="1" applyAlignment="1">
      <alignment wrapText="1"/>
    </xf>
    <xf numFmtId="171" fontId="0" fillId="0" borderId="23" xfId="0" applyNumberFormat="1" applyFont="1" applyBorder="1" applyAlignment="1">
      <alignment wrapText="1"/>
    </xf>
    <xf numFmtId="44" fontId="0" fillId="0" borderId="23" xfId="0" applyNumberFormat="1" applyFont="1" applyBorder="1" applyAlignment="1">
      <alignment wrapText="1"/>
    </xf>
    <xf numFmtId="164" fontId="0" fillId="0" borderId="23" xfId="0" applyNumberFormat="1" applyFont="1" applyBorder="1" applyAlignment="1">
      <alignment wrapText="1"/>
    </xf>
    <xf numFmtId="172" fontId="0" fillId="0" borderId="23" xfId="0" applyNumberFormat="1" applyFont="1" applyBorder="1" applyAlignment="1">
      <alignment wrapText="1"/>
    </xf>
    <xf numFmtId="171" fontId="0" fillId="0" borderId="23" xfId="0" applyNumberFormat="1" applyBorder="1"/>
    <xf numFmtId="9" fontId="0" fillId="0" borderId="0" xfId="0" applyNumberFormat="1"/>
    <xf numFmtId="171" fontId="19" fillId="0" borderId="0" xfId="0" applyNumberFormat="1" applyFont="1"/>
    <xf numFmtId="164" fontId="19" fillId="0" borderId="0" xfId="0" applyNumberFormat="1" applyFont="1"/>
    <xf numFmtId="0" fontId="3" fillId="0" borderId="23" xfId="0" applyFont="1" applyBorder="1" applyAlignment="1">
      <alignment horizontal="left" vertical="center" wrapText="1"/>
    </xf>
    <xf numFmtId="171" fontId="0" fillId="0" borderId="0" xfId="0" applyNumberFormat="1" applyFont="1"/>
    <xf numFmtId="164" fontId="0" fillId="0" borderId="0" xfId="0" applyNumberFormat="1" applyFont="1"/>
    <xf numFmtId="164" fontId="2" fillId="0" borderId="23" xfId="0" applyNumberFormat="1" applyFont="1" applyBorder="1"/>
    <xf numFmtId="0" fontId="3" fillId="3" borderId="0" xfId="0" applyFont="1" applyFill="1" applyBorder="1" applyAlignment="1">
      <alignment wrapText="1"/>
    </xf>
    <xf numFmtId="164" fontId="2" fillId="0" borderId="0" xfId="0" applyNumberFormat="1" applyFont="1" applyBorder="1"/>
    <xf numFmtId="172" fontId="0" fillId="0" borderId="23" xfId="0" applyNumberFormat="1" applyBorder="1" applyAlignment="1">
      <alignment wrapText="1"/>
    </xf>
    <xf numFmtId="0" fontId="23" fillId="0" borderId="0" xfId="0" applyFont="1"/>
    <xf numFmtId="164" fontId="23" fillId="0" borderId="0" xfId="0" applyNumberFormat="1" applyFont="1"/>
    <xf numFmtId="172" fontId="23" fillId="0" borderId="0" xfId="0" applyNumberFormat="1" applyFont="1"/>
    <xf numFmtId="0" fontId="23" fillId="0" borderId="0" xfId="0" applyFont="1" applyAlignment="1">
      <alignment wrapText="1"/>
    </xf>
    <xf numFmtId="0" fontId="24" fillId="12" borderId="23" xfId="0" applyFont="1" applyFill="1" applyBorder="1" applyAlignment="1">
      <alignment wrapText="1"/>
    </xf>
    <xf numFmtId="0" fontId="24" fillId="12" borderId="23" xfId="0" applyFont="1" applyFill="1" applyBorder="1" applyAlignment="1">
      <alignment horizontal="center" wrapText="1"/>
    </xf>
    <xf numFmtId="9" fontId="24" fillId="0" borderId="23" xfId="0" applyNumberFormat="1" applyFont="1" applyBorder="1" applyAlignment="1">
      <alignment horizontal="center"/>
    </xf>
    <xf numFmtId="9" fontId="24" fillId="14" borderId="23" xfId="0" applyNumberFormat="1" applyFont="1" applyFill="1" applyBorder="1" applyAlignment="1">
      <alignment horizontal="center"/>
    </xf>
    <xf numFmtId="9" fontId="24" fillId="10" borderId="23" xfId="0" applyNumberFormat="1" applyFont="1" applyFill="1" applyBorder="1" applyAlignment="1">
      <alignment horizontal="center"/>
    </xf>
    <xf numFmtId="0" fontId="24" fillId="0" borderId="23" xfId="0" applyFont="1" applyBorder="1" applyAlignment="1">
      <alignment wrapText="1"/>
    </xf>
    <xf numFmtId="0" fontId="25" fillId="0" borderId="23" xfId="0" applyFont="1" applyBorder="1" applyAlignment="1">
      <alignment wrapText="1"/>
    </xf>
    <xf numFmtId="166" fontId="0" fillId="0" borderId="23" xfId="1" applyNumberFormat="1" applyFont="1" applyBorder="1" applyAlignment="1">
      <alignment horizontal="right" vertical="center" wrapText="1"/>
    </xf>
    <xf numFmtId="2" fontId="0" fillId="0" borderId="0" xfId="0" applyNumberFormat="1" applyAlignment="1">
      <alignment wrapText="1"/>
    </xf>
    <xf numFmtId="172" fontId="2" fillId="0" borderId="0" xfId="0" applyNumberFormat="1" applyFont="1" applyAlignment="1">
      <alignment vertical="center"/>
    </xf>
    <xf numFmtId="3" fontId="0" fillId="0" borderId="23" xfId="0" applyNumberForma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0" fontId="2" fillId="15" borderId="1" xfId="0" applyFont="1" applyFill="1" applyBorder="1" applyAlignment="1">
      <alignment horizontal="left" vertical="center" wrapText="1"/>
    </xf>
    <xf numFmtId="164" fontId="2" fillId="15" borderId="1" xfId="0" applyNumberFormat="1" applyFont="1" applyFill="1" applyBorder="1" applyAlignment="1">
      <alignment horizontal="center" vertical="center"/>
    </xf>
    <xf numFmtId="3" fontId="3" fillId="15" borderId="1" xfId="0" applyNumberFormat="1" applyFont="1" applyFill="1" applyBorder="1" applyAlignment="1">
      <alignment horizontal="right" vertical="top" wrapText="1"/>
    </xf>
    <xf numFmtId="3" fontId="2" fillId="15" borderId="1" xfId="0" applyNumberFormat="1" applyFont="1" applyFill="1" applyBorder="1"/>
    <xf numFmtId="3" fontId="2" fillId="15" borderId="23" xfId="0" applyNumberFormat="1" applyFont="1" applyFill="1" applyBorder="1"/>
    <xf numFmtId="171" fontId="2" fillId="15" borderId="1" xfId="0" applyNumberFormat="1" applyFont="1" applyFill="1" applyBorder="1" applyAlignment="1">
      <alignment vertical="center"/>
    </xf>
    <xf numFmtId="44" fontId="2" fillId="15" borderId="1" xfId="3" applyFont="1" applyFill="1" applyBorder="1" applyAlignment="1">
      <alignment vertical="center"/>
    </xf>
    <xf numFmtId="164" fontId="2" fillId="15" borderId="1" xfId="0" applyNumberFormat="1" applyFont="1" applyFill="1" applyBorder="1" applyAlignment="1">
      <alignment vertical="center"/>
    </xf>
    <xf numFmtId="172" fontId="2" fillId="15" borderId="1" xfId="3" applyNumberFormat="1" applyFont="1" applyFill="1" applyBorder="1" applyAlignment="1">
      <alignment vertical="center"/>
    </xf>
    <xf numFmtId="166" fontId="2" fillId="15" borderId="23" xfId="1" applyNumberFormat="1" applyFont="1" applyFill="1" applyBorder="1" applyAlignment="1">
      <alignment vertical="center"/>
    </xf>
    <xf numFmtId="0" fontId="0" fillId="15" borderId="0" xfId="0" applyFill="1" applyAlignment="1">
      <alignment vertical="center"/>
    </xf>
    <xf numFmtId="3" fontId="24" fillId="0" borderId="0" xfId="0" applyNumberFormat="1" applyFont="1"/>
    <xf numFmtId="166" fontId="0" fillId="0" borderId="0" xfId="1" applyNumberFormat="1" applyFont="1" applyAlignment="1">
      <alignment vertical="center"/>
    </xf>
    <xf numFmtId="0" fontId="26" fillId="0" borderId="23" xfId="0" applyFont="1" applyFill="1" applyBorder="1" applyProtection="1"/>
    <xf numFmtId="0" fontId="19" fillId="16" borderId="23" xfId="0" applyFont="1" applyFill="1" applyBorder="1" applyAlignment="1">
      <alignment horizontal="right"/>
    </xf>
    <xf numFmtId="166" fontId="19" fillId="0" borderId="23" xfId="1" applyNumberFormat="1" applyFont="1" applyFill="1" applyBorder="1" applyAlignment="1">
      <alignment horizontal="right"/>
    </xf>
    <xf numFmtId="0" fontId="19" fillId="2" borderId="23" xfId="0" applyFont="1" applyFill="1" applyBorder="1" applyAlignment="1">
      <alignment horizontal="right"/>
    </xf>
    <xf numFmtId="0" fontId="19" fillId="17" borderId="23" xfId="0" applyFont="1" applyFill="1" applyBorder="1" applyAlignment="1">
      <alignment horizontal="right"/>
    </xf>
    <xf numFmtId="0" fontId="19" fillId="18" borderId="23" xfId="0" applyFont="1" applyFill="1" applyBorder="1" applyAlignment="1">
      <alignment horizontal="right"/>
    </xf>
    <xf numFmtId="0" fontId="19" fillId="19" borderId="23" xfId="0" applyFont="1" applyFill="1" applyBorder="1" applyAlignment="1">
      <alignment horizontal="right"/>
    </xf>
    <xf numFmtId="0" fontId="27" fillId="3" borderId="27" xfId="4" applyFont="1" applyFill="1" applyBorder="1" applyAlignment="1">
      <alignment horizontal="center" vertical="center"/>
    </xf>
    <xf numFmtId="166" fontId="27" fillId="3" borderId="27" xfId="1" applyNumberFormat="1" applyFont="1" applyFill="1" applyBorder="1" applyAlignment="1">
      <alignment horizontal="center" vertical="center" wrapText="1"/>
    </xf>
    <xf numFmtId="0" fontId="27" fillId="0" borderId="25" xfId="0" applyFont="1" applyFill="1" applyBorder="1" applyAlignment="1" applyProtection="1">
      <alignment vertical="center" wrapText="1"/>
    </xf>
    <xf numFmtId="0" fontId="0" fillId="21" borderId="23" xfId="0" applyFill="1" applyBorder="1" applyAlignment="1">
      <alignment wrapText="1"/>
    </xf>
    <xf numFmtId="3" fontId="0" fillId="21" borderId="23" xfId="0" applyNumberFormat="1" applyFill="1" applyBorder="1" applyAlignment="1">
      <alignment horizontal="center" vertical="center" wrapText="1"/>
    </xf>
    <xf numFmtId="166" fontId="0" fillId="21" borderId="23" xfId="1" applyNumberFormat="1" applyFont="1" applyFill="1" applyBorder="1" applyAlignment="1">
      <alignment horizontal="right" vertical="center" wrapText="1"/>
    </xf>
    <xf numFmtId="0" fontId="19" fillId="20" borderId="23" xfId="0" applyFont="1" applyFill="1" applyBorder="1" applyAlignment="1">
      <alignment wrapText="1"/>
    </xf>
    <xf numFmtId="3" fontId="19" fillId="20" borderId="23" xfId="0" applyNumberFormat="1" applyFont="1" applyFill="1" applyBorder="1" applyAlignment="1">
      <alignment horizontal="center" vertical="center"/>
    </xf>
    <xf numFmtId="166" fontId="19" fillId="20" borderId="23" xfId="1" applyNumberFormat="1" applyFont="1" applyFill="1" applyBorder="1" applyAlignment="1">
      <alignment horizontal="right" vertical="center" wrapText="1"/>
    </xf>
    <xf numFmtId="0" fontId="3" fillId="9" borderId="23" xfId="0" applyFont="1" applyFill="1" applyBorder="1" applyAlignment="1">
      <alignment horizontal="center" vertical="center" wrapText="1"/>
    </xf>
    <xf numFmtId="172" fontId="2" fillId="0" borderId="23" xfId="3" applyNumberFormat="1" applyFont="1" applyBorder="1" applyAlignment="1">
      <alignment vertical="center"/>
    </xf>
    <xf numFmtId="172" fontId="2" fillId="3" borderId="23" xfId="3" applyNumberFormat="1" applyFont="1" applyFill="1" applyBorder="1" applyAlignment="1">
      <alignment vertical="center"/>
    </xf>
    <xf numFmtId="172" fontId="3" fillId="0" borderId="23" xfId="3" applyNumberFormat="1" applyFont="1" applyBorder="1" applyAlignment="1">
      <alignment vertical="center"/>
    </xf>
    <xf numFmtId="172" fontId="2" fillId="0" borderId="23" xfId="3" applyNumberFormat="1" applyFont="1" applyBorder="1" applyAlignment="1">
      <alignment vertical="center" wrapText="1"/>
    </xf>
    <xf numFmtId="0" fontId="0" fillId="0" borderId="23" xfId="0" applyBorder="1" applyAlignment="1">
      <alignment vertical="center"/>
    </xf>
    <xf numFmtId="3" fontId="0" fillId="0" borderId="23" xfId="0" applyNumberFormat="1" applyBorder="1"/>
    <xf numFmtId="172" fontId="0" fillId="0" borderId="23" xfId="0" applyNumberFormat="1" applyBorder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 readingOrder="1"/>
    </xf>
    <xf numFmtId="0" fontId="11" fillId="6" borderId="18" xfId="0" applyFont="1" applyFill="1" applyBorder="1" applyAlignment="1">
      <alignment horizontal="center" vertical="center" wrapText="1" readingOrder="1"/>
    </xf>
    <xf numFmtId="0" fontId="9" fillId="5" borderId="15" xfId="0" applyFont="1" applyFill="1" applyBorder="1" applyAlignment="1">
      <alignment horizontal="left" wrapText="1" readingOrder="1"/>
    </xf>
    <xf numFmtId="0" fontId="9" fillId="5" borderId="16" xfId="0" applyFont="1" applyFill="1" applyBorder="1" applyAlignment="1">
      <alignment horizontal="left" wrapText="1" readingOrder="1"/>
    </xf>
    <xf numFmtId="0" fontId="9" fillId="5" borderId="15" xfId="0" applyFont="1" applyFill="1" applyBorder="1" applyAlignment="1">
      <alignment horizontal="center" wrapText="1" readingOrder="1"/>
    </xf>
    <xf numFmtId="0" fontId="9" fillId="5" borderId="16" xfId="0" applyFont="1" applyFill="1" applyBorder="1" applyAlignment="1">
      <alignment horizontal="center" wrapText="1" readingOrder="1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12" borderId="23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 applyProtection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27" fillId="0" borderId="25" xfId="0" applyFont="1" applyFill="1" applyBorder="1" applyAlignment="1" applyProtection="1">
      <alignment horizontal="center" vertical="center" wrapText="1"/>
    </xf>
    <xf numFmtId="0" fontId="27" fillId="0" borderId="26" xfId="0" applyFont="1" applyFill="1" applyBorder="1" applyAlignment="1" applyProtection="1">
      <alignment horizontal="center" vertical="center" wrapText="1"/>
    </xf>
  </cellXfs>
  <cellStyles count="5">
    <cellStyle name="Millares" xfId="2" builtinId="3"/>
    <cellStyle name="Moneda" xfId="3" builtinId="4"/>
    <cellStyle name="Normal" xfId="0" builtinId="0"/>
    <cellStyle name="Normal 19" xfId="4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11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Presupuesto Seguridad y Justicia (M$)</a:t>
            </a:r>
          </a:p>
          <a:p>
            <a:pPr>
              <a:defRPr sz="1400"/>
            </a:pPr>
            <a:r>
              <a:rPr lang="en-US" sz="1400"/>
              <a:t>Moneda 31/09/2014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índice!$A$2</c:f>
              <c:strCache>
                <c:ptCount val="1"/>
                <c:pt idx="0">
                  <c:v>Presupuesto total</c:v>
                </c:pt>
              </c:strCache>
            </c:strRef>
          </c:tx>
          <c:dLbls>
            <c:dLbl>
              <c:idx val="0"/>
              <c:layout>
                <c:manualLayout>
                  <c:x val="2.5020823871999782E-2"/>
                  <c:y val="-3.8345797227607982E-2"/>
                </c:manualLayout>
              </c:layout>
              <c:showVal val="1"/>
            </c:dLbl>
            <c:dLbl>
              <c:idx val="1"/>
              <c:layout>
                <c:manualLayout>
                  <c:x val="2.9828516786356382E-2"/>
                  <c:y val="-5.8755457075403333E-2"/>
                </c:manualLayout>
              </c:layout>
              <c:showVal val="1"/>
            </c:dLbl>
            <c:dLbl>
              <c:idx val="2"/>
              <c:layout>
                <c:manualLayout>
                  <c:x val="3.163777403060964E-2"/>
                  <c:y val="-4.2005302101056456E-2"/>
                </c:manualLayout>
              </c:layout>
              <c:showVal val="1"/>
            </c:dLbl>
            <c:dLbl>
              <c:idx val="3"/>
              <c:layout>
                <c:manualLayout>
                  <c:x val="2.8371318944493254E-2"/>
                  <c:y val="-6.0852820533112043E-2"/>
                </c:manualLayout>
              </c:layout>
              <c:showVal val="1"/>
            </c:dLbl>
            <c:dLbl>
              <c:idx val="4"/>
              <c:layout>
                <c:manualLayout>
                  <c:x val="2.1404089194733009E-2"/>
                  <c:y val="-2.1286188507790352E-2"/>
                </c:manualLayout>
              </c:layout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s-CL"/>
              </a:p>
            </c:txPr>
            <c:showVal val="1"/>
          </c:dLbls>
          <c:cat>
            <c:strRef>
              <c:f>(índice!$B$1:$C$1,índice!$E$1:$F$1)</c:f>
              <c:strCache>
                <c:ptCount val="4"/>
                <c:pt idx="0">
                  <c:v>2006</c:v>
                </c:pt>
                <c:pt idx="1">
                  <c:v>2010</c:v>
                </c:pt>
                <c:pt idx="2">
                  <c:v>2014</c:v>
                </c:pt>
                <c:pt idx="3">
                  <c:v>2015*</c:v>
                </c:pt>
              </c:strCache>
            </c:strRef>
          </c:cat>
          <c:val>
            <c:numRef>
              <c:f>(índice!$B$2:$C$2,índice!$E$2:$F$2)</c:f>
              <c:numCache>
                <c:formatCode>"$"\ #,##0;[Red]\-"$"\ #,##0</c:formatCode>
                <c:ptCount val="4"/>
                <c:pt idx="0">
                  <c:v>1031464299.4301184</c:v>
                </c:pt>
                <c:pt idx="1">
                  <c:v>1506591059.3460348</c:v>
                </c:pt>
                <c:pt idx="2">
                  <c:v>1985299012.5138412</c:v>
                </c:pt>
                <c:pt idx="3">
                  <c:v>2130063994</c:v>
                </c:pt>
              </c:numCache>
            </c:numRef>
          </c:val>
        </c:ser>
        <c:gapWidth val="88"/>
        <c:shape val="box"/>
        <c:axId val="70345472"/>
        <c:axId val="70347008"/>
        <c:axId val="0"/>
      </c:bar3DChart>
      <c:catAx>
        <c:axId val="70345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1"/>
            </a:pPr>
            <a:endParaRPr lang="es-CL"/>
          </a:p>
        </c:txPr>
        <c:crossAx val="70347008"/>
        <c:crosses val="autoZero"/>
        <c:auto val="1"/>
        <c:lblAlgn val="ctr"/>
        <c:lblOffset val="100"/>
      </c:catAx>
      <c:valAx>
        <c:axId val="70347008"/>
        <c:scaling>
          <c:orientation val="minMax"/>
          <c:max val="240000000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s-CL" sz="1100"/>
                  <a:t>Monto  en  M$  (Moneda 31/09/2014)</a:t>
                </a:r>
              </a:p>
            </c:rich>
          </c:tx>
          <c:layout>
            <c:manualLayout>
              <c:xMode val="edge"/>
              <c:yMode val="edge"/>
              <c:x val="2.1028312797871616E-2"/>
              <c:y val="0.21526316174266624"/>
            </c:manualLayout>
          </c:layout>
        </c:title>
        <c:numFmt formatCode="#,##0" sourceLinked="0"/>
        <c:tickLblPos val="nextTo"/>
        <c:txPr>
          <a:bodyPr/>
          <a:lstStyle/>
          <a:p>
            <a:pPr>
              <a:defRPr sz="1050" b="1"/>
            </a:pPr>
            <a:endParaRPr lang="es-CL"/>
          </a:p>
        </c:txPr>
        <c:crossAx val="70345472"/>
        <c:crosses val="autoZero"/>
        <c:crossBetween val="between"/>
        <c:majorUnit val="300000000"/>
      </c:valAx>
    </c:plotArea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gRAFICOS!$A$7</c:f>
              <c:strCache>
                <c:ptCount val="1"/>
                <c:pt idx="0">
                  <c:v>Presupuesto en Seguridad</c:v>
                </c:pt>
              </c:strCache>
            </c:strRef>
          </c:tx>
          <c:cat>
            <c:numRef>
              <c:f>gRAFICOS!$B$6:$L$6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gRAFICOS!$B$7:$L$7</c:f>
              <c:numCache>
                <c:formatCode>"$"\ #,##0.00</c:formatCode>
                <c:ptCount val="11"/>
                <c:pt idx="0">
                  <c:v>1082.8580923798149</c:v>
                </c:pt>
                <c:pt idx="1">
                  <c:v>1195.6829679522716</c:v>
                </c:pt>
                <c:pt idx="2">
                  <c:v>1244.2732354371888</c:v>
                </c:pt>
                <c:pt idx="3">
                  <c:v>1330.369285823253</c:v>
                </c:pt>
                <c:pt idx="4">
                  <c:v>1581.733476026584</c:v>
                </c:pt>
                <c:pt idx="5">
                  <c:v>1812.0646243063354</c:v>
                </c:pt>
                <c:pt idx="6">
                  <c:v>1875.9078335054073</c:v>
                </c:pt>
                <c:pt idx="7">
                  <c:v>1997.4890665673399</c:v>
                </c:pt>
                <c:pt idx="8">
                  <c:v>2084.3173657082061</c:v>
                </c:pt>
                <c:pt idx="9">
                  <c:v>2203.4591570393522</c:v>
                </c:pt>
                <c:pt idx="10">
                  <c:v>2366.5818989999998</c:v>
                </c:pt>
              </c:numCache>
            </c:numRef>
          </c:val>
        </c:ser>
        <c:axId val="86340352"/>
        <c:axId val="86341888"/>
      </c:barChart>
      <c:catAx>
        <c:axId val="86340352"/>
        <c:scaling>
          <c:orientation val="minMax"/>
        </c:scaling>
        <c:axPos val="b"/>
        <c:numFmt formatCode="General" sourceLinked="1"/>
        <c:tickLblPos val="nextTo"/>
        <c:crossAx val="86341888"/>
        <c:crosses val="autoZero"/>
        <c:auto val="1"/>
        <c:lblAlgn val="ctr"/>
        <c:lblOffset val="100"/>
      </c:catAx>
      <c:valAx>
        <c:axId val="8634188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Monto en MM$ (Moneda 31/09/2015)</a:t>
                </a:r>
              </a:p>
            </c:rich>
          </c:tx>
        </c:title>
        <c:numFmt formatCode="&quot;$&quot;\ #,##0.00" sourceLinked="1"/>
        <c:tickLblPos val="nextTo"/>
        <c:crossAx val="86340352"/>
        <c:crosses val="autoZero"/>
        <c:crossBetween val="between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n-US"/>
              <a:t>2006</a:t>
            </a:r>
          </a:p>
        </c:rich>
      </c:tx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chemeClr val="accent5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Lbls>
            <c:showVal val="1"/>
            <c:showLeaderLines val="1"/>
          </c:dLbls>
          <c:cat>
            <c:strRef>
              <c:f>gRAFICOS!$F$39:$F$49</c:f>
              <c:strCache>
                <c:ptCount val="11"/>
                <c:pt idx="0">
                  <c:v>Carabineros</c:v>
                </c:pt>
                <c:pt idx="1">
                  <c:v>PDI</c:v>
                </c:pt>
                <c:pt idx="2">
                  <c:v>MP</c:v>
                </c:pt>
                <c:pt idx="3">
                  <c:v>DPP</c:v>
                </c:pt>
                <c:pt idx="4">
                  <c:v>SML</c:v>
                </c:pt>
                <c:pt idx="5">
                  <c:v>Genchi</c:v>
                </c:pt>
                <c:pt idx="6">
                  <c:v>Ministerio de Justicia (subsidio concesiones)</c:v>
                </c:pt>
                <c:pt idx="7">
                  <c:v>SENAME</c:v>
                </c:pt>
                <c:pt idx="8">
                  <c:v>senda/conace</c:v>
                </c:pt>
                <c:pt idx="9">
                  <c:v>Min Interior Drogas</c:v>
                </c:pt>
                <c:pt idx="10">
                  <c:v>spd o programa seguridad</c:v>
                </c:pt>
              </c:strCache>
            </c:strRef>
          </c:cat>
          <c:val>
            <c:numRef>
              <c:f>gRAFICOS!$G$39:$G$49</c:f>
              <c:numCache>
                <c:formatCode>0%</c:formatCode>
                <c:ptCount val="11"/>
                <c:pt idx="0">
                  <c:v>0.42132225758751918</c:v>
                </c:pt>
                <c:pt idx="1">
                  <c:v>0.11351772783084607</c:v>
                </c:pt>
                <c:pt idx="2">
                  <c:v>0.1022377243554593</c:v>
                </c:pt>
                <c:pt idx="3">
                  <c:v>3.9015746663947019E-2</c:v>
                </c:pt>
                <c:pt idx="4">
                  <c:v>1.1914443141947742E-2</c:v>
                </c:pt>
                <c:pt idx="5">
                  <c:v>0.16199481446623198</c:v>
                </c:pt>
                <c:pt idx="6">
                  <c:v>9.1496201722656365E-3</c:v>
                </c:pt>
                <c:pt idx="7">
                  <c:v>0.10680451577389244</c:v>
                </c:pt>
                <c:pt idx="8">
                  <c:v>1.7638218820800616E-2</c:v>
                </c:pt>
                <c:pt idx="9">
                  <c:v>0</c:v>
                </c:pt>
                <c:pt idx="10">
                  <c:v>1.6404931187090268E-2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2010</a:t>
            </a:r>
          </a:p>
        </c:rich>
      </c:tx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chemeClr val="accent5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Lbls>
            <c:showVal val="1"/>
            <c:showLeaderLines val="1"/>
          </c:dLbls>
          <c:cat>
            <c:strRef>
              <c:f>gRAFICOS!$H$39:$H$49</c:f>
              <c:strCache>
                <c:ptCount val="11"/>
                <c:pt idx="0">
                  <c:v>Carabineros</c:v>
                </c:pt>
                <c:pt idx="1">
                  <c:v>PDI</c:v>
                </c:pt>
                <c:pt idx="2">
                  <c:v>MP</c:v>
                </c:pt>
                <c:pt idx="3">
                  <c:v>DPP</c:v>
                </c:pt>
                <c:pt idx="4">
                  <c:v>SML</c:v>
                </c:pt>
                <c:pt idx="5">
                  <c:v>Genchi</c:v>
                </c:pt>
                <c:pt idx="6">
                  <c:v>Ministerio de Justicia (subsidio concesiones)</c:v>
                </c:pt>
                <c:pt idx="7">
                  <c:v>SENAME</c:v>
                </c:pt>
                <c:pt idx="8">
                  <c:v>senda/conace</c:v>
                </c:pt>
                <c:pt idx="9">
                  <c:v>Min Interior Drogas</c:v>
                </c:pt>
                <c:pt idx="10">
                  <c:v>spd o programa seguridad</c:v>
                </c:pt>
              </c:strCache>
            </c:strRef>
          </c:cat>
          <c:val>
            <c:numRef>
              <c:f>gRAFICOS!$I$39:$I$49</c:f>
              <c:numCache>
                <c:formatCode>0%</c:formatCode>
                <c:ptCount val="11"/>
                <c:pt idx="0">
                  <c:v>0.4338973178682165</c:v>
                </c:pt>
                <c:pt idx="1">
                  <c:v>0.12282107740824408</c:v>
                </c:pt>
                <c:pt idx="2">
                  <c:v>7.890474350510622E-2</c:v>
                </c:pt>
                <c:pt idx="3">
                  <c:v>3.0712672651128519E-2</c:v>
                </c:pt>
                <c:pt idx="4">
                  <c:v>1.7089856746892122E-2</c:v>
                </c:pt>
                <c:pt idx="5">
                  <c:v>0.15271943371510804</c:v>
                </c:pt>
                <c:pt idx="6">
                  <c:v>1.8443240220118239E-2</c:v>
                </c:pt>
                <c:pt idx="7">
                  <c:v>0.10430189090103602</c:v>
                </c:pt>
                <c:pt idx="8">
                  <c:v>2.4261543453978688E-2</c:v>
                </c:pt>
                <c:pt idx="9">
                  <c:v>0</c:v>
                </c:pt>
                <c:pt idx="10">
                  <c:v>1.6848223530171607E-2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2015</a:t>
            </a:r>
          </a:p>
        </c:rich>
      </c:tx>
      <c:layout>
        <c:manualLayout>
          <c:xMode val="edge"/>
          <c:yMode val="edge"/>
          <c:x val="0.56782633420822393"/>
          <c:y val="3.7006791620438545E-2"/>
        </c:manualLayout>
      </c:layout>
      <c:overlay val="1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chemeClr val="accent5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Lbls>
            <c:showVal val="1"/>
            <c:showLeaderLines val="1"/>
          </c:dLbls>
          <c:cat>
            <c:strRef>
              <c:f>gRAFICOS!$J$39:$J$49</c:f>
              <c:strCache>
                <c:ptCount val="11"/>
                <c:pt idx="0">
                  <c:v>Carabineros</c:v>
                </c:pt>
                <c:pt idx="1">
                  <c:v>PDI</c:v>
                </c:pt>
                <c:pt idx="2">
                  <c:v>MP</c:v>
                </c:pt>
                <c:pt idx="3">
                  <c:v>DPP</c:v>
                </c:pt>
                <c:pt idx="4">
                  <c:v>SML</c:v>
                </c:pt>
                <c:pt idx="5">
                  <c:v>Genchi</c:v>
                </c:pt>
                <c:pt idx="6">
                  <c:v>Ministerio de Justicia (subsidio concesiones)</c:v>
                </c:pt>
                <c:pt idx="7">
                  <c:v>SENAME</c:v>
                </c:pt>
                <c:pt idx="8">
                  <c:v>senda/conace</c:v>
                </c:pt>
                <c:pt idx="9">
                  <c:v>Min Interior Drogas</c:v>
                </c:pt>
                <c:pt idx="10">
                  <c:v>spd o programa seguridad</c:v>
                </c:pt>
              </c:strCache>
            </c:strRef>
          </c:cat>
          <c:val>
            <c:numRef>
              <c:f>gRAFICOS!$K$39:$K$49</c:f>
              <c:numCache>
                <c:formatCode>0%</c:formatCode>
                <c:ptCount val="11"/>
                <c:pt idx="0">
                  <c:v>0.41029204590179086</c:v>
                </c:pt>
                <c:pt idx="1">
                  <c:v>0.12028071162260114</c:v>
                </c:pt>
                <c:pt idx="2">
                  <c:v>6.871146989586642E-2</c:v>
                </c:pt>
                <c:pt idx="3">
                  <c:v>2.2395249689385624E-2</c:v>
                </c:pt>
                <c:pt idx="4">
                  <c:v>1.6109828200776583E-2</c:v>
                </c:pt>
                <c:pt idx="5">
                  <c:v>0.1780866575222716</c:v>
                </c:pt>
                <c:pt idx="6">
                  <c:v>1.4759585199579688E-2</c:v>
                </c:pt>
                <c:pt idx="7">
                  <c:v>0.11086181667084692</c:v>
                </c:pt>
                <c:pt idx="8">
                  <c:v>2.9254992890133797E-2</c:v>
                </c:pt>
                <c:pt idx="9">
                  <c:v>2.8304637874649696E-3</c:v>
                </c:pt>
                <c:pt idx="10">
                  <c:v>2.6417178619282361E-2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2010</a:t>
            </a:r>
          </a:p>
        </c:rich>
      </c:tx>
    </c:title>
    <c:plotArea>
      <c:layout>
        <c:manualLayout>
          <c:layoutTarget val="inner"/>
          <c:xMode val="edge"/>
          <c:yMode val="edge"/>
          <c:x val="4.2086056097809951E-2"/>
          <c:y val="0.12999222543699232"/>
          <c:w val="0.44066616866177216"/>
          <c:h val="0.79230250503549449"/>
        </c:manualLayout>
      </c:layout>
      <c:pieChart>
        <c:varyColors val="1"/>
        <c:ser>
          <c:idx val="0"/>
          <c:order val="0"/>
          <c:tx>
            <c:strRef>
              <c:f>'Hoja1 (2)'!$D$2</c:f>
              <c:strCache>
                <c:ptCount val="1"/>
                <c:pt idx="0">
                  <c:v>Valor 2010 actualizado al 31/09/2014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elete val="1"/>
          </c:dLbls>
          <c:cat>
            <c:strRef>
              <c:f>'Hoja1 (2)'!$B$3:$B$13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(2)'!$D$3:$D$13</c:f>
              <c:numCache>
                <c:formatCode>"$"\ #,##0</c:formatCode>
                <c:ptCount val="11"/>
                <c:pt idx="0">
                  <c:v>653705819.77447939</c:v>
                </c:pt>
                <c:pt idx="1">
                  <c:v>185041137.12250775</c:v>
                </c:pt>
                <c:pt idx="2">
                  <c:v>46271438.024811693</c:v>
                </c:pt>
                <c:pt idx="3">
                  <c:v>118877181.10478511</c:v>
                </c:pt>
                <c:pt idx="4">
                  <c:v>25747425.380372174</c:v>
                </c:pt>
                <c:pt idx="5">
                  <c:v>230085733.42357111</c:v>
                </c:pt>
                <c:pt idx="6">
                  <c:v>27786420.821001329</c:v>
                </c:pt>
                <c:pt idx="7">
                  <c:v>157140296.30438635</c:v>
                </c:pt>
                <c:pt idx="8">
                  <c:v>36552224.453699604</c:v>
                </c:pt>
                <c:pt idx="9">
                  <c:v>0</c:v>
                </c:pt>
                <c:pt idx="10">
                  <c:v>25383382.936420027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>
        <c:manualLayout>
          <c:xMode val="edge"/>
          <c:yMode val="edge"/>
          <c:x val="0.55189046601362646"/>
          <c:y val="5.4264328661034048E-2"/>
          <c:w val="0.43354297274840714"/>
          <c:h val="0.92505073793536008"/>
        </c:manualLayout>
      </c:layout>
      <c:overlay val="1"/>
      <c:txPr>
        <a:bodyPr/>
        <a:lstStyle/>
        <a:p>
          <a:pPr rtl="0">
            <a:defRPr sz="1050"/>
          </a:pPr>
          <a:endParaRPr lang="es-CL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2014</a:t>
            </a:r>
          </a:p>
        </c:rich>
      </c:tx>
      <c:layout>
        <c:manualLayout>
          <c:xMode val="edge"/>
          <c:yMode val="edge"/>
          <c:x val="1.6827081809838784E-2"/>
          <c:y val="2.9931625679095852E-2"/>
        </c:manualLayout>
      </c:layout>
    </c:title>
    <c:plotArea>
      <c:layout>
        <c:manualLayout>
          <c:layoutTarget val="inner"/>
          <c:xMode val="edge"/>
          <c:yMode val="edge"/>
          <c:x val="0.10772149978898564"/>
          <c:y val="0.13636307961504812"/>
          <c:w val="0.7512262498241542"/>
          <c:h val="0.7973540390784486"/>
        </c:manualLayout>
      </c:layout>
      <c:pieChart>
        <c:varyColors val="1"/>
        <c:ser>
          <c:idx val="0"/>
          <c:order val="0"/>
          <c:tx>
            <c:strRef>
              <c:f>'Hoja1 (2)'!$L$2</c:f>
              <c:strCache>
                <c:ptCount val="1"/>
                <c:pt idx="0">
                  <c:v>Valor 2014 actualizado al 31/09/2014 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6372201853415038E-2"/>
                  <c:y val="-4.5806649168853894E-2"/>
                </c:manualLayout>
              </c:layout>
              <c:showPercent val="1"/>
            </c:dLbl>
            <c:dLbl>
              <c:idx val="1"/>
              <c:layout>
                <c:manualLayout>
                  <c:x val="7.7759982547302528E-2"/>
                  <c:y val="-2.6907261592301002E-2"/>
                </c:manualLayout>
              </c:layout>
              <c:showPercent val="1"/>
            </c:dLbl>
            <c:dLbl>
              <c:idx val="3"/>
              <c:layout>
                <c:manualLayout>
                  <c:x val="4.1562120832454114E-2"/>
                  <c:y val="-2.0472440944881887E-3"/>
                </c:manualLayout>
              </c:layout>
              <c:showPercent val="1"/>
            </c:dLbl>
            <c:dLbl>
              <c:idx val="5"/>
              <c:layout>
                <c:manualLayout>
                  <c:x val="2.3434065511359792E-2"/>
                  <c:y val="-5.3552055993000914E-3"/>
                </c:manualLayout>
              </c:layout>
              <c:showPercent val="1"/>
            </c:dLbl>
            <c:dLbl>
              <c:idx val="7"/>
              <c:layout>
                <c:manualLayout>
                  <c:x val="2.4191164187240626E-3"/>
                  <c:y val="2.2195683872849231E-2"/>
                </c:manualLayout>
              </c:layout>
              <c:showPercent val="1"/>
            </c:dLbl>
            <c:dLbl>
              <c:idx val="8"/>
              <c:layout>
                <c:manualLayout>
                  <c:x val="1.410063656186256E-2"/>
                  <c:y val="1.3531058617672884E-2"/>
                </c:manualLayout>
              </c:layout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1.5202145758598925E-2"/>
                  <c:y val="1.125284339457568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Percent val="1"/>
          </c:dLbls>
          <c:cat>
            <c:strRef>
              <c:f>'Hoja1 (2)'!$B$3:$B$13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(2)'!$L$3:$L$13</c:f>
              <c:numCache>
                <c:formatCode>"$"\ #,##0</c:formatCode>
                <c:ptCount val="11"/>
                <c:pt idx="0">
                  <c:v>853046023.2288444</c:v>
                </c:pt>
                <c:pt idx="1">
                  <c:v>241067540.27386463</c:v>
                </c:pt>
                <c:pt idx="2">
                  <c:v>46579711.944241941</c:v>
                </c:pt>
                <c:pt idx="3">
                  <c:v>133237112.45433946</c:v>
                </c:pt>
                <c:pt idx="4">
                  <c:v>30170556.056940202</c:v>
                </c:pt>
                <c:pt idx="5">
                  <c:v>348609708.20332974</c:v>
                </c:pt>
                <c:pt idx="6">
                  <c:v>33158950.123140574</c:v>
                </c:pt>
                <c:pt idx="7">
                  <c:v>203245450.49886709</c:v>
                </c:pt>
                <c:pt idx="8">
                  <c:v>56716631.457984433</c:v>
                </c:pt>
                <c:pt idx="9">
                  <c:v>3188070.8292779033</c:v>
                </c:pt>
                <c:pt idx="10">
                  <c:v>36279257.443010539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2015*</a:t>
            </a:r>
          </a:p>
        </c:rich>
      </c:tx>
      <c:layout>
        <c:manualLayout>
          <c:xMode val="edge"/>
          <c:yMode val="edge"/>
          <c:x val="1.6827081809838784E-2"/>
          <c:y val="2.9931625679095852E-2"/>
        </c:manualLayout>
      </c:layout>
    </c:title>
    <c:plotArea>
      <c:layout>
        <c:manualLayout>
          <c:layoutTarget val="inner"/>
          <c:xMode val="edge"/>
          <c:yMode val="edge"/>
          <c:x val="0.10772149978898564"/>
          <c:y val="0.13636307961504812"/>
          <c:w val="0.7512262498241542"/>
          <c:h val="0.7973540390784486"/>
        </c:manualLayout>
      </c:layout>
      <c:pieChart>
        <c:varyColors val="1"/>
        <c:ser>
          <c:idx val="0"/>
          <c:order val="0"/>
          <c:tx>
            <c:strRef>
              <c:f>'Hoja1 (2)'!$M$2</c:f>
              <c:strCache>
                <c:ptCount val="1"/>
                <c:pt idx="0">
                  <c:v>Ley de Presupuestos 2015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9520946534078921E-2"/>
                  <c:y val="-2.0591717701954095E-2"/>
                </c:manualLayout>
              </c:layout>
              <c:showPercent val="1"/>
            </c:dLbl>
            <c:dLbl>
              <c:idx val="1"/>
              <c:layout>
                <c:manualLayout>
                  <c:x val="3.8328206328690995E-2"/>
                  <c:y val="-2.9566054243219578E-2"/>
                </c:manualLayout>
              </c:layout>
              <c:showPercent val="1"/>
            </c:dLbl>
            <c:dLbl>
              <c:idx val="2"/>
              <c:layout>
                <c:manualLayout>
                  <c:x val="1.7864011834423581E-2"/>
                  <c:y val="-2.1576844561096552E-2"/>
                </c:manualLayout>
              </c:layout>
              <c:showPercent val="1"/>
            </c:dLbl>
            <c:dLbl>
              <c:idx val="3"/>
              <c:layout>
                <c:manualLayout>
                  <c:x val="1.5129746738060069E-2"/>
                  <c:y val="-2.0286089238845138E-2"/>
                </c:manualLayout>
              </c:layout>
              <c:showPercent val="1"/>
            </c:dLbl>
            <c:dLbl>
              <c:idx val="4"/>
              <c:layout>
                <c:manualLayout>
                  <c:x val="1.1924681938876023E-2"/>
                  <c:y val="-1.7876640419947507E-2"/>
                </c:manualLayout>
              </c:layout>
              <c:showPercent val="1"/>
            </c:dLbl>
            <c:dLbl>
              <c:idx val="5"/>
              <c:layout>
                <c:manualLayout>
                  <c:x val="2.2097637291622802E-2"/>
                  <c:y val="-3.6968795567220811E-2"/>
                </c:manualLayout>
              </c:layout>
              <c:showPercent val="1"/>
            </c:dLbl>
            <c:dLbl>
              <c:idx val="7"/>
              <c:layout>
                <c:manualLayout>
                  <c:x val="1.0117316636772877E-2"/>
                  <c:y val="2.126742490522018E-2"/>
                </c:manualLayout>
              </c:layout>
              <c:showPercent val="1"/>
            </c:dLbl>
            <c:dLbl>
              <c:idx val="8"/>
              <c:layout>
                <c:manualLayout>
                  <c:x val="2.7249645011254379E-2"/>
                  <c:y val="1.294692330125401E-2"/>
                </c:manualLayout>
              </c:layout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1.2357839646198271E-2"/>
                  <c:y val="1.3286672499270931E-2"/>
                </c:manualLayout>
              </c:layout>
              <c:showPercent val="1"/>
            </c:dLbl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Percent val="1"/>
          </c:dLbls>
          <c:cat>
            <c:strRef>
              <c:f>'Hoja1 (2)'!$B$3:$B$13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(2)'!$M$3:$M$13</c:f>
              <c:numCache>
                <c:formatCode>"$"\ #,##0</c:formatCode>
                <c:ptCount val="11"/>
                <c:pt idx="0">
                  <c:v>873948314</c:v>
                </c:pt>
                <c:pt idx="1">
                  <c:v>256205613</c:v>
                </c:pt>
                <c:pt idx="2">
                  <c:v>47703315</c:v>
                </c:pt>
                <c:pt idx="3">
                  <c:v>146359828</c:v>
                </c:pt>
                <c:pt idx="4">
                  <c:v>34314965</c:v>
                </c:pt>
                <c:pt idx="5">
                  <c:v>379335977</c:v>
                </c:pt>
                <c:pt idx="6">
                  <c:v>31438861</c:v>
                </c:pt>
                <c:pt idx="7">
                  <c:v>236142764</c:v>
                </c:pt>
                <c:pt idx="8">
                  <c:v>62315007</c:v>
                </c:pt>
                <c:pt idx="9">
                  <c:v>6029069</c:v>
                </c:pt>
                <c:pt idx="10">
                  <c:v>56270281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plotArea>
      <c:layout/>
      <c:barChart>
        <c:barDir val="bar"/>
        <c:grouping val="clustered"/>
        <c:ser>
          <c:idx val="0"/>
          <c:order val="0"/>
          <c:dLbls>
            <c:showVal val="1"/>
          </c:dLbls>
          <c:cat>
            <c:strRef>
              <c:f>'Hoja1 (2)'!$B$57:$B$67</c:f>
              <c:strCache>
                <c:ptCount val="11"/>
                <c:pt idx="0">
                  <c:v>Subsecretaría de Interior (Planes drogas)</c:v>
                </c:pt>
                <c:pt idx="1">
                  <c:v>Ministerio Justicia (subsidio concesiones)</c:v>
                </c:pt>
                <c:pt idx="2">
                  <c:v>Servicio Médico Legal</c:v>
                </c:pt>
                <c:pt idx="3">
                  <c:v>Defensoría Penal Pública</c:v>
                </c:pt>
                <c:pt idx="4">
                  <c:v>SPD (incluye centros de víctimas)</c:v>
                </c:pt>
                <c:pt idx="5">
                  <c:v>Senda</c:v>
                </c:pt>
                <c:pt idx="6">
                  <c:v>Ministerio Público</c:v>
                </c:pt>
                <c:pt idx="7">
                  <c:v>Sename (incluye prog. adm, directa)</c:v>
                </c:pt>
                <c:pt idx="8">
                  <c:v>Policía de Investigaciones</c:v>
                </c:pt>
                <c:pt idx="9">
                  <c:v>Gendarmería de Chile (incluye reinserción)</c:v>
                </c:pt>
                <c:pt idx="10">
                  <c:v>Carabineros de Chile</c:v>
                </c:pt>
              </c:strCache>
            </c:strRef>
          </c:cat>
          <c:val>
            <c:numRef>
              <c:f>'Hoja1 (2)'!$C$57:$C$67</c:f>
              <c:numCache>
                <c:formatCode>"$"\ #,##0</c:formatCode>
                <c:ptCount val="11"/>
                <c:pt idx="0">
                  <c:v>6029069</c:v>
                </c:pt>
                <c:pt idx="1">
                  <c:v>31438861</c:v>
                </c:pt>
                <c:pt idx="2">
                  <c:v>34314965</c:v>
                </c:pt>
                <c:pt idx="3">
                  <c:v>47703315</c:v>
                </c:pt>
                <c:pt idx="4">
                  <c:v>56270281</c:v>
                </c:pt>
                <c:pt idx="5">
                  <c:v>62315007</c:v>
                </c:pt>
                <c:pt idx="6">
                  <c:v>146359828</c:v>
                </c:pt>
                <c:pt idx="7">
                  <c:v>236142764</c:v>
                </c:pt>
                <c:pt idx="8">
                  <c:v>256205613</c:v>
                </c:pt>
                <c:pt idx="9">
                  <c:v>379335977</c:v>
                </c:pt>
                <c:pt idx="10">
                  <c:v>873948314</c:v>
                </c:pt>
              </c:numCache>
            </c:numRef>
          </c:val>
        </c:ser>
        <c:axId val="70301568"/>
        <c:axId val="70303104"/>
      </c:barChart>
      <c:catAx>
        <c:axId val="70301568"/>
        <c:scaling>
          <c:orientation val="minMax"/>
        </c:scaling>
        <c:axPos val="l"/>
        <c:tickLblPos val="nextTo"/>
        <c:crossAx val="70303104"/>
        <c:crosses val="autoZero"/>
        <c:auto val="1"/>
        <c:lblAlgn val="ctr"/>
        <c:lblOffset val="100"/>
      </c:catAx>
      <c:valAx>
        <c:axId val="70303104"/>
        <c:scaling>
          <c:orientation val="minMax"/>
        </c:scaling>
        <c:axPos val="b"/>
        <c:majorGridlines/>
        <c:numFmt formatCode="&quot;$&quot;\ #,##0" sourceLinked="1"/>
        <c:tickLblPos val="nextTo"/>
        <c:crossAx val="70301568"/>
        <c:crosses val="autoZero"/>
        <c:crossBetween val="between"/>
      </c:valAx>
    </c:plotArea>
    <c:plotVisOnly val="1"/>
    <c:dispBlanksAs val="gap"/>
  </c:chart>
  <c:txPr>
    <a:bodyPr/>
    <a:lstStyle/>
    <a:p>
      <a:pPr>
        <a:defRPr b="1"/>
      </a:pPr>
      <a:endParaRPr lang="es-CL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2015*</a:t>
            </a:r>
          </a:p>
        </c:rich>
      </c:tx>
      <c:layout>
        <c:manualLayout>
          <c:xMode val="edge"/>
          <c:yMode val="edge"/>
          <c:x val="3.2460164387494099E-2"/>
          <c:y val="2.6190172469208892E-2"/>
        </c:manualLayout>
      </c:layout>
    </c:title>
    <c:plotArea>
      <c:layout>
        <c:manualLayout>
          <c:layoutTarget val="inner"/>
          <c:xMode val="edge"/>
          <c:yMode val="edge"/>
          <c:x val="4.2086056097809951E-2"/>
          <c:y val="0.12999222543699232"/>
          <c:w val="0.44066616866177216"/>
          <c:h val="0.79230250503549449"/>
        </c:manualLayout>
      </c:layout>
      <c:pieChart>
        <c:varyColors val="1"/>
        <c:ser>
          <c:idx val="0"/>
          <c:order val="0"/>
          <c:tx>
            <c:strRef>
              <c:f>'Hoja1 (3)'!$M$2</c:f>
              <c:strCache>
                <c:ptCount val="1"/>
                <c:pt idx="0">
                  <c:v>Ley de Presupuestos 2015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9.5578106507615366E-3"/>
                  <c:y val="-5.3440914352244032E-2"/>
                </c:manualLayout>
              </c:layout>
              <c:showPercent val="1"/>
            </c:dLbl>
            <c:dLbl>
              <c:idx val="1"/>
              <c:layout>
                <c:manualLayout>
                  <c:x val="1.3101466667562497E-2"/>
                  <c:y val="1.370402983970974E-2"/>
                </c:manualLayout>
              </c:layout>
              <c:showPercent val="1"/>
            </c:dLbl>
            <c:dLbl>
              <c:idx val="3"/>
              <c:layout>
                <c:manualLayout>
                  <c:x val="6.9134636480732269E-3"/>
                  <c:y val="1.47486907123285E-2"/>
                </c:manualLayout>
              </c:layout>
              <c:showPercent val="1"/>
            </c:dLbl>
            <c:dLbl>
              <c:idx val="5"/>
              <c:layout>
                <c:manualLayout>
                  <c:x val="-6.8763508683161584E-3"/>
                  <c:y val="2.3220578110495424E-2"/>
                </c:manualLayout>
              </c:layout>
              <c:showPercent val="1"/>
            </c:dLbl>
            <c:dLbl>
              <c:idx val="6"/>
              <c:layout>
                <c:manualLayout>
                  <c:x val="-7.5439712706121534E-3"/>
                  <c:y val="-1.7646696635608681E-3"/>
                </c:manualLayout>
              </c:layout>
              <c:showPercent val="1"/>
            </c:dLbl>
            <c:dLbl>
              <c:idx val="7"/>
              <c:layout>
                <c:manualLayout>
                  <c:x val="-1.3000205308225382E-2"/>
                  <c:y val="1.9232247909278893E-2"/>
                </c:manualLayout>
              </c:layout>
              <c:showPercent val="1"/>
            </c:dLbl>
            <c:dLbl>
              <c:idx val="8"/>
              <c:layout>
                <c:manualLayout>
                  <c:x val="-1.3463254825193893E-2"/>
                  <c:y val="-1.0141105814483506E-2"/>
                </c:manualLayout>
              </c:layout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1.5896149102599878E-2"/>
                  <c:y val="-2.2339716291789801E-3"/>
                </c:manualLayout>
              </c:layout>
              <c:showPercent val="1"/>
            </c:dLbl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Percent val="1"/>
          </c:dLbls>
          <c:cat>
            <c:strRef>
              <c:f>'Hoja1 (3)'!$B$3:$B$13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(3)'!$M$3:$M$13</c:f>
              <c:numCache>
                <c:formatCode>"$"\ #,##0</c:formatCode>
                <c:ptCount val="11"/>
                <c:pt idx="0">
                  <c:v>873948314</c:v>
                </c:pt>
                <c:pt idx="1">
                  <c:v>256205613</c:v>
                </c:pt>
                <c:pt idx="2">
                  <c:v>47703315</c:v>
                </c:pt>
                <c:pt idx="3">
                  <c:v>146359828</c:v>
                </c:pt>
                <c:pt idx="4">
                  <c:v>34314965</c:v>
                </c:pt>
                <c:pt idx="5">
                  <c:v>379335977</c:v>
                </c:pt>
                <c:pt idx="6">
                  <c:v>31438861</c:v>
                </c:pt>
                <c:pt idx="7">
                  <c:v>236142764</c:v>
                </c:pt>
                <c:pt idx="8">
                  <c:v>62315007</c:v>
                </c:pt>
                <c:pt idx="9">
                  <c:v>6029069</c:v>
                </c:pt>
                <c:pt idx="10">
                  <c:v>56270281</c:v>
                </c:pt>
              </c:numCache>
            </c:numRef>
          </c:val>
        </c:ser>
        <c:dLbls>
          <c:showPercent val="1"/>
        </c:dLbls>
        <c:firstSliceAng val="150"/>
      </c:pieChart>
    </c:plotArea>
    <c:legend>
      <c:legendPos val="r"/>
      <c:layout>
        <c:manualLayout>
          <c:xMode val="edge"/>
          <c:yMode val="edge"/>
          <c:x val="0.55189046601362646"/>
          <c:y val="2.8074156191825191E-2"/>
          <c:w val="0.43354297274840714"/>
          <c:h val="0.9400165507749052"/>
        </c:manualLayout>
      </c:layout>
      <c:overlay val="1"/>
      <c:txPr>
        <a:bodyPr/>
        <a:lstStyle/>
        <a:p>
          <a:pPr rtl="0">
            <a:defRPr sz="1100"/>
          </a:pPr>
          <a:endParaRPr lang="es-CL"/>
        </a:p>
      </c:txPr>
    </c:legend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2006</a:t>
            </a:r>
          </a:p>
        </c:rich>
      </c:tx>
      <c:layout>
        <c:manualLayout>
          <c:xMode val="edge"/>
          <c:yMode val="edge"/>
          <c:x val="1.6827081809838784E-2"/>
          <c:y val="2.9931625679095852E-2"/>
        </c:manualLayout>
      </c:layout>
    </c:title>
    <c:plotArea>
      <c:layout>
        <c:manualLayout>
          <c:layoutTarget val="inner"/>
          <c:xMode val="edge"/>
          <c:yMode val="edge"/>
          <c:x val="0.10772149978898564"/>
          <c:y val="0.13636307961504812"/>
          <c:w val="0.7512262498241542"/>
          <c:h val="0.7973540390784486"/>
        </c:manualLayout>
      </c:layout>
      <c:pieChart>
        <c:varyColors val="1"/>
        <c:ser>
          <c:idx val="0"/>
          <c:order val="0"/>
          <c:tx>
            <c:strRef>
              <c:f>'Hoja1 (3)'!$P$2</c:f>
              <c:strCache>
                <c:ptCount val="1"/>
                <c:pt idx="0">
                  <c:v>Valor 2006 actualizado al 31/09/2014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2.0479168864739522E-2"/>
                  <c:y val="-1.6903762029746281E-2"/>
                </c:manualLayout>
              </c:layout>
              <c:showPercent val="1"/>
            </c:dLbl>
            <c:dLbl>
              <c:idx val="1"/>
              <c:layout>
                <c:manualLayout>
                  <c:x val="6.1014240214180213E-2"/>
                  <c:y val="-3.0923009623797036E-2"/>
                </c:manualLayout>
              </c:layout>
              <c:showPercent val="1"/>
            </c:dLbl>
            <c:dLbl>
              <c:idx val="2"/>
              <c:layout>
                <c:manualLayout>
                  <c:x val="7.7083663044243491E-4"/>
                  <c:y val="-2.0167979002624691E-2"/>
                </c:manualLayout>
              </c:layout>
              <c:showPercent val="1"/>
            </c:dLbl>
            <c:dLbl>
              <c:idx val="3"/>
              <c:layout>
                <c:manualLayout>
                  <c:x val="1.5307241110993878E-2"/>
                  <c:y val="-2.0862350539515895E-2"/>
                </c:manualLayout>
              </c:layout>
              <c:showPercent val="1"/>
            </c:dLbl>
            <c:dLbl>
              <c:idx val="5"/>
              <c:layout>
                <c:manualLayout>
                  <c:x val="2.3461129281845676E-2"/>
                  <c:y val="1.6932050160396621E-3"/>
                </c:manualLayout>
              </c:layout>
              <c:showPercent val="1"/>
            </c:dLbl>
            <c:dLbl>
              <c:idx val="7"/>
              <c:layout>
                <c:manualLayout>
                  <c:x val="2.9608589188999116E-2"/>
                  <c:y val="1.4800233304170313E-2"/>
                </c:manualLayout>
              </c:layout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1.6711534826264345E-2"/>
                  <c:y val="1.138524351122776E-2"/>
                </c:manualLayout>
              </c:layout>
              <c:showPercent val="1"/>
            </c:dLbl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Percent val="1"/>
          </c:dLbls>
          <c:cat>
            <c:strRef>
              <c:f>'Hoja1 (3)'!$B$3:$B$13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(3)'!$P$3:$P$13</c:f>
              <c:numCache>
                <c:formatCode>"$"\ #,##0</c:formatCode>
                <c:ptCount val="11"/>
                <c:pt idx="0">
                  <c:v>434578867.25682682</c:v>
                </c:pt>
                <c:pt idx="1">
                  <c:v>117089483.60994209</c:v>
                </c:pt>
                <c:pt idx="2">
                  <c:v>40243349.799471132</c:v>
                </c:pt>
                <c:pt idx="3">
                  <c:v>105454562.72763361</c:v>
                </c:pt>
                <c:pt idx="4">
                  <c:v>12289322.748509103</c:v>
                </c:pt>
                <c:pt idx="5">
                  <c:v>167091867.81472358</c:v>
                </c:pt>
                <c:pt idx="6">
                  <c:v>9437506.5610376559</c:v>
                </c:pt>
                <c:pt idx="7">
                  <c:v>110165045.03869092</c:v>
                </c:pt>
                <c:pt idx="8">
                  <c:v>18193193.019192211</c:v>
                </c:pt>
                <c:pt idx="9">
                  <c:v>0</c:v>
                </c:pt>
                <c:pt idx="10">
                  <c:v>16921100.854091372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style val="26"/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2010</a:t>
            </a:r>
          </a:p>
        </c:rich>
      </c:tx>
      <c:layout>
        <c:manualLayout>
          <c:xMode val="edge"/>
          <c:yMode val="edge"/>
          <c:x val="1.6827081809838784E-2"/>
          <c:y val="2.9931625679095852E-2"/>
        </c:manualLayout>
      </c:layout>
    </c:title>
    <c:plotArea>
      <c:layout>
        <c:manualLayout>
          <c:layoutTarget val="inner"/>
          <c:xMode val="edge"/>
          <c:yMode val="edge"/>
          <c:x val="0.10772149978898564"/>
          <c:y val="0.13636307961504812"/>
          <c:w val="0.7512262498241542"/>
          <c:h val="0.7973540390784486"/>
        </c:manualLayout>
      </c:layout>
      <c:pieChart>
        <c:varyColors val="1"/>
        <c:ser>
          <c:idx val="0"/>
          <c:order val="0"/>
          <c:tx>
            <c:strRef>
              <c:f>'Hoja1 (3)'!$D$2</c:f>
              <c:strCache>
                <c:ptCount val="1"/>
                <c:pt idx="0">
                  <c:v>Valor 2010 actualizado al 31/09/2014 (miles de $)</c:v>
                </c:pt>
              </c:strCache>
            </c:strRef>
          </c:tx>
          <c:dPt>
            <c:idx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rgbClr val="FFC000"/>
              </a:solidFill>
            </c:spPr>
          </c:dPt>
          <c:dPt>
            <c:idx val="3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5"/>
            <c:spPr>
              <a:solidFill>
                <a:srgbClr val="0070C0"/>
              </a:solidFill>
            </c:spPr>
          </c:dPt>
          <c:dPt>
            <c:idx val="6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7"/>
            <c:spPr>
              <a:solidFill>
                <a:schemeClr val="bg2">
                  <a:lumMod val="75000"/>
                </a:schemeClr>
              </a:solidFill>
            </c:spPr>
          </c:dPt>
          <c:dPt>
            <c:idx val="9"/>
            <c:spPr>
              <a:solidFill>
                <a:schemeClr val="bg1">
                  <a:lumMod val="85000"/>
                </a:schemeClr>
              </a:solidFill>
            </c:spPr>
          </c:dPt>
          <c:dPt>
            <c:idx val="10"/>
            <c:spPr>
              <a:solidFill>
                <a:schemeClr val="tx2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1.7887915875360483E-2"/>
                  <c:y val="-3.3939340915718895E-2"/>
                </c:manualLayout>
              </c:layout>
              <c:showPercent val="1"/>
            </c:dLbl>
            <c:dLbl>
              <c:idx val="1"/>
              <c:layout>
                <c:manualLayout>
                  <c:x val="0.11095994781775295"/>
                  <c:y val="-2.6907261592301002E-2"/>
                </c:manualLayout>
              </c:layout>
              <c:showPercent val="1"/>
            </c:dLbl>
            <c:dLbl>
              <c:idx val="2"/>
              <c:layout>
                <c:manualLayout>
                  <c:x val="1.7735836718365414E-2"/>
                  <c:y val="-1.8980460775736441E-2"/>
                </c:manualLayout>
              </c:layout>
              <c:showPercent val="1"/>
            </c:dLbl>
            <c:dLbl>
              <c:idx val="3"/>
              <c:layout>
                <c:manualLayout>
                  <c:x val="2.273315506963508E-2"/>
                  <c:y val="-1.7645960921551466E-2"/>
                </c:manualLayout>
              </c:layout>
              <c:showPercent val="1"/>
            </c:dLbl>
            <c:dLbl>
              <c:idx val="5"/>
              <c:layout>
                <c:manualLayout>
                  <c:x val="2.6398166587536052E-2"/>
                  <c:y val="-2.6515602216389642E-2"/>
                </c:manualLayout>
              </c:layout>
              <c:showPercent val="1"/>
            </c:dLbl>
            <c:dLbl>
              <c:idx val="8"/>
              <c:layout>
                <c:manualLayout>
                  <c:x val="6.6846139305057322E-3"/>
                  <c:y val="1.7118985126859138E-2"/>
                </c:manualLayout>
              </c:layout>
              <c:showPercent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1.3026465894703541E-2"/>
                  <c:y val="1.1355205599300087E-2"/>
                </c:manualLayout>
              </c:layout>
              <c:showPercent val="1"/>
            </c:dLbl>
            <c:txPr>
              <a:bodyPr/>
              <a:lstStyle/>
              <a:p>
                <a:pPr>
                  <a:defRPr sz="900" b="1"/>
                </a:pPr>
                <a:endParaRPr lang="es-CL"/>
              </a:p>
            </c:txPr>
            <c:showPercent val="1"/>
          </c:dLbls>
          <c:cat>
            <c:strRef>
              <c:f>'Hoja1 (3)'!$B$3:$B$13</c:f>
              <c:strCache>
                <c:ptCount val="11"/>
                <c:pt idx="0">
                  <c:v>Carabineros de Chile</c:v>
                </c:pt>
                <c:pt idx="1">
                  <c:v>Policía de Investigaciones</c:v>
                </c:pt>
                <c:pt idx="2">
                  <c:v>Defensoría Penal Pública</c:v>
                </c:pt>
                <c:pt idx="3">
                  <c:v>Ministerio Público</c:v>
                </c:pt>
                <c:pt idx="4">
                  <c:v>Servicio Médico Legal</c:v>
                </c:pt>
                <c:pt idx="5">
                  <c:v>Gendarmería de Chile (incluye reinserción)</c:v>
                </c:pt>
                <c:pt idx="6">
                  <c:v>Ministerio Justicia (subsidio concesiones)</c:v>
                </c:pt>
                <c:pt idx="7">
                  <c:v>Sename (incluye programas)</c:v>
                </c:pt>
                <c:pt idx="8">
                  <c:v>Senda</c:v>
                </c:pt>
                <c:pt idx="9">
                  <c:v>Subsecretaría de Interior</c:v>
                </c:pt>
                <c:pt idx="10">
                  <c:v>SPD (incluye centros de víctimas)</c:v>
                </c:pt>
              </c:strCache>
            </c:strRef>
          </c:cat>
          <c:val>
            <c:numRef>
              <c:f>'Hoja1 (3)'!$D$3:$D$13</c:f>
              <c:numCache>
                <c:formatCode>"$"\ #,##0</c:formatCode>
                <c:ptCount val="11"/>
                <c:pt idx="0">
                  <c:v>653705819.77447939</c:v>
                </c:pt>
                <c:pt idx="1">
                  <c:v>185041137.12250775</c:v>
                </c:pt>
                <c:pt idx="2">
                  <c:v>46271438.024811693</c:v>
                </c:pt>
                <c:pt idx="3">
                  <c:v>118877181.10478511</c:v>
                </c:pt>
                <c:pt idx="4">
                  <c:v>25747425.380372174</c:v>
                </c:pt>
                <c:pt idx="5">
                  <c:v>230085733.42357111</c:v>
                </c:pt>
                <c:pt idx="6">
                  <c:v>27786420.821001329</c:v>
                </c:pt>
                <c:pt idx="7">
                  <c:v>157140296.30438635</c:v>
                </c:pt>
                <c:pt idx="8">
                  <c:v>36552224.453699604</c:v>
                </c:pt>
                <c:pt idx="9">
                  <c:v>0</c:v>
                </c:pt>
                <c:pt idx="10">
                  <c:v>25383382.936420027</c:v>
                </c:pt>
              </c:numCache>
            </c:numRef>
          </c:val>
        </c:ser>
        <c:dLbls>
          <c:showPercent val="1"/>
        </c:dLbls>
        <c:firstSliceAng val="0"/>
      </c:pieChart>
    </c:plotArea>
    <c:plotVisOnly val="1"/>
    <c:dispBlanksAs val="zero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plotArea>
      <c:layout>
        <c:manualLayout>
          <c:layoutTarget val="inner"/>
          <c:xMode val="edge"/>
          <c:yMode val="edge"/>
          <c:x val="7.8688339352748923E-2"/>
          <c:y val="4.750265815364741E-2"/>
          <c:w val="0.45565359381389042"/>
          <c:h val="0.8742859828508350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"/>
            <c:spPr>
              <a:solidFill>
                <a:schemeClr val="tx2"/>
              </a:solidFill>
            </c:spPr>
          </c:dPt>
          <c:dPt>
            <c:idx val="2"/>
            <c:spPr>
              <a:solidFill>
                <a:schemeClr val="accent6"/>
              </a:solidFill>
            </c:spPr>
          </c:dPt>
          <c:dPt>
            <c:idx val="3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spPr>
              <a:solidFill>
                <a:srgbClr val="FFFF00"/>
              </a:solidFill>
            </c:spPr>
          </c:dPt>
          <c:dPt>
            <c:idx val="5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7"/>
            <c:spPr>
              <a:solidFill>
                <a:srgbClr val="FF0000"/>
              </a:solidFill>
            </c:spPr>
          </c:dPt>
          <c:dPt>
            <c:idx val="8"/>
            <c:spPr>
              <a:solidFill>
                <a:srgbClr val="00B0F0"/>
              </a:solidFill>
            </c:spPr>
          </c:dPt>
          <c:dPt>
            <c:idx val="10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-7.5669524755685924E-3"/>
                  <c:y val="-5.5597059037550594E-3"/>
                </c:manualLayout>
              </c:layout>
              <c:showVal val="1"/>
            </c:dLbl>
            <c:dLbl>
              <c:idx val="1"/>
              <c:layout>
                <c:manualLayout>
                  <c:x val="1.313512193527166E-2"/>
                  <c:y val="-5.7529872603191293E-3"/>
                </c:manualLayout>
              </c:layout>
              <c:showVal val="1"/>
            </c:dLbl>
            <c:dLbl>
              <c:idx val="2"/>
              <c:layout>
                <c:manualLayout>
                  <c:x val="2.3756957500138863E-2"/>
                  <c:y val="-1.0279148736363221E-3"/>
                </c:manualLayout>
              </c:layout>
              <c:showVal val="1"/>
            </c:dLbl>
            <c:dLbl>
              <c:idx val="3"/>
              <c:layout>
                <c:manualLayout>
                  <c:x val="1.4679620920117402E-2"/>
                  <c:y val="-2.5430989277367604E-3"/>
                </c:manualLayout>
              </c:layout>
              <c:showVal val="1"/>
            </c:dLbl>
            <c:dLbl>
              <c:idx val="5"/>
              <c:layout>
                <c:manualLayout>
                  <c:x val="2.5368014267537604E-3"/>
                  <c:y val="1.2333101965610941E-2"/>
                </c:manualLayout>
              </c:layout>
              <c:showVal val="1"/>
            </c:dLbl>
            <c:dLbl>
              <c:idx val="7"/>
              <c:layout>
                <c:manualLayout>
                  <c:x val="1.4707309978002217E-2"/>
                  <c:y val="3.3266494541313316E-3"/>
                </c:manualLayout>
              </c:layout>
              <c:showVal val="1"/>
            </c:dLbl>
            <c:dLbl>
              <c:idx val="8"/>
              <c:layout>
                <c:manualLayout>
                  <c:x val="6.3105187210526414E-3"/>
                  <c:y val="2.7603580146189194E-3"/>
                </c:manualLayout>
              </c:layout>
              <c:showVal val="1"/>
            </c:dLbl>
            <c:dLbl>
              <c:idx val="10"/>
              <c:layout>
                <c:manualLayout>
                  <c:x val="2.9352898485091872E-2"/>
                  <c:y val="3.4886555102805051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CL"/>
              </a:p>
            </c:txPr>
            <c:showVal val="1"/>
            <c:showLeaderLines val="1"/>
          </c:dLbls>
          <c:cat>
            <c:strRef>
              <c:f>gRAFICOS!$A$67:$A$77</c:f>
              <c:strCache>
                <c:ptCount val="11"/>
                <c:pt idx="0">
                  <c:v>Carabineros</c:v>
                </c:pt>
                <c:pt idx="1">
                  <c:v>PDI</c:v>
                </c:pt>
                <c:pt idx="2">
                  <c:v>MP</c:v>
                </c:pt>
                <c:pt idx="3">
                  <c:v>DPP</c:v>
                </c:pt>
                <c:pt idx="4">
                  <c:v>SML</c:v>
                </c:pt>
                <c:pt idx="5">
                  <c:v>Genchi (incluye reincerción)</c:v>
                </c:pt>
                <c:pt idx="6">
                  <c:v>Ministerio de Justicia (subsidio concesiones)</c:v>
                </c:pt>
                <c:pt idx="7">
                  <c:v>SENAME (Incluye prog. Adm directa)</c:v>
                </c:pt>
                <c:pt idx="8">
                  <c:v>SENDA</c:v>
                </c:pt>
                <c:pt idx="9">
                  <c:v>Subsecretaría Interios (Planes Drogas)</c:v>
                </c:pt>
                <c:pt idx="10">
                  <c:v>SPD (Incluye centro de víctimas)</c:v>
                </c:pt>
              </c:strCache>
            </c:strRef>
          </c:cat>
          <c:val>
            <c:numRef>
              <c:f>gRAFICOS!$B$67:$B$77</c:f>
              <c:numCache>
                <c:formatCode>0%</c:formatCode>
                <c:ptCount val="11"/>
                <c:pt idx="0">
                  <c:v>0.41782983737762458</c:v>
                </c:pt>
                <c:pt idx="1">
                  <c:v>0.12478476072380371</c:v>
                </c:pt>
                <c:pt idx="2">
                  <c:v>7.1203398906753826E-2</c:v>
                </c:pt>
                <c:pt idx="3">
                  <c:v>2.1726310009269618E-2</c:v>
                </c:pt>
                <c:pt idx="4">
                  <c:v>1.6263045456513907E-2</c:v>
                </c:pt>
                <c:pt idx="5">
                  <c:v>0.17694372807336342</c:v>
                </c:pt>
                <c:pt idx="6">
                  <c:v>8.4443230164332455E-3</c:v>
                </c:pt>
                <c:pt idx="7">
                  <c:v>0.10809209396391145</c:v>
                </c:pt>
                <c:pt idx="8">
                  <c:v>2.6871884309971221E-2</c:v>
                </c:pt>
                <c:pt idx="9">
                  <c:v>1.8882042501416089E-3</c:v>
                </c:pt>
                <c:pt idx="10">
                  <c:v>2.5952413912213396E-2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425467359143796"/>
          <c:y val="0.12370369250724254"/>
          <c:w val="0.28281457018144407"/>
          <c:h val="0.74132209075652167"/>
        </c:manualLayout>
      </c:layout>
    </c:legend>
    <c:plotVisOnly val="1"/>
  </c:chart>
  <c:spPr>
    <a:ln>
      <a:noFill/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447675</xdr:colOff>
      <xdr:row>2</xdr:row>
      <xdr:rowOff>0</xdr:rowOff>
    </xdr:from>
    <xdr:to>
      <xdr:col>11</xdr:col>
      <xdr:colOff>752474</xdr:colOff>
      <xdr:row>21</xdr:row>
      <xdr:rowOff>171450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53139</xdr:colOff>
      <xdr:row>15</xdr:row>
      <xdr:rowOff>130343</xdr:rowOff>
    </xdr:from>
    <xdr:to>
      <xdr:col>6</xdr:col>
      <xdr:colOff>641685</xdr:colOff>
      <xdr:row>33</xdr:row>
      <xdr:rowOff>95746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36</xdr:row>
      <xdr:rowOff>0</xdr:rowOff>
    </xdr:from>
    <xdr:to>
      <xdr:col>4</xdr:col>
      <xdr:colOff>90237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90236</xdr:colOff>
      <xdr:row>36</xdr:row>
      <xdr:rowOff>0</xdr:rowOff>
    </xdr:from>
    <xdr:to>
      <xdr:col>7</xdr:col>
      <xdr:colOff>782052</xdr:colOff>
      <xdr:row>54</xdr:row>
      <xdr:rowOff>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696827</xdr:colOff>
      <xdr:row>55</xdr:row>
      <xdr:rowOff>167437</xdr:rowOff>
    </xdr:from>
    <xdr:to>
      <xdr:col>12</xdr:col>
      <xdr:colOff>40104</xdr:colOff>
      <xdr:row>80</xdr:row>
      <xdr:rowOff>150394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53139</xdr:colOff>
      <xdr:row>15</xdr:row>
      <xdr:rowOff>130343</xdr:rowOff>
    </xdr:from>
    <xdr:to>
      <xdr:col>6</xdr:col>
      <xdr:colOff>641685</xdr:colOff>
      <xdr:row>33</xdr:row>
      <xdr:rowOff>95746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4</xdr:col>
      <xdr:colOff>90236</xdr:colOff>
      <xdr:row>54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100263</xdr:colOff>
      <xdr:row>36</xdr:row>
      <xdr:rowOff>0</xdr:rowOff>
    </xdr:from>
    <xdr:to>
      <xdr:col>7</xdr:col>
      <xdr:colOff>792079</xdr:colOff>
      <xdr:row>54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33617</xdr:colOff>
      <xdr:row>72</xdr:row>
      <xdr:rowOff>203385</xdr:rowOff>
    </xdr:from>
    <xdr:to>
      <xdr:col>11</xdr:col>
      <xdr:colOff>100854</xdr:colOff>
      <xdr:row>89</xdr:row>
      <xdr:rowOff>56027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874059</xdr:colOff>
      <xdr:row>5</xdr:row>
      <xdr:rowOff>22412</xdr:rowOff>
    </xdr:from>
    <xdr:to>
      <xdr:col>9</xdr:col>
      <xdr:colOff>22412</xdr:colOff>
      <xdr:row>19</xdr:row>
      <xdr:rowOff>100853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1143001</xdr:colOff>
      <xdr:row>51</xdr:row>
      <xdr:rowOff>437027</xdr:rowOff>
    </xdr:from>
    <xdr:to>
      <xdr:col>8</xdr:col>
      <xdr:colOff>67236</xdr:colOff>
      <xdr:row>67</xdr:row>
      <xdr:rowOff>123265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78441</xdr:colOff>
      <xdr:row>51</xdr:row>
      <xdr:rowOff>448235</xdr:rowOff>
    </xdr:from>
    <xdr:to>
      <xdr:col>12</xdr:col>
      <xdr:colOff>0</xdr:colOff>
      <xdr:row>62</xdr:row>
      <xdr:rowOff>145677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1187823</xdr:colOff>
      <xdr:row>51</xdr:row>
      <xdr:rowOff>437029</xdr:rowOff>
    </xdr:from>
    <xdr:to>
      <xdr:col>16</xdr:col>
      <xdr:colOff>246529</xdr:colOff>
      <xdr:row>62</xdr:row>
      <xdr:rowOff>134471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66675</xdr:colOff>
      <xdr:row>18</xdr:row>
      <xdr:rowOff>85725</xdr:rowOff>
    </xdr:from>
    <xdr:to>
      <xdr:col>18</xdr:col>
      <xdr:colOff>219075</xdr:colOff>
      <xdr:row>22</xdr:row>
      <xdr:rowOff>123825</xdr:rowOff>
    </xdr:to>
    <xdr:cxnSp macro="">
      <xdr:nvCxnSpPr>
        <xdr:cNvPr id="8" name="7 Conector recto"/>
        <xdr:cNvCxnSpPr/>
      </xdr:nvCxnSpPr>
      <xdr:spPr>
        <a:xfrm>
          <a:off x="10534650" y="3629025"/>
          <a:ext cx="9144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O33"/>
  <sheetViews>
    <sheetView zoomScale="95" zoomScaleNormal="95" workbookViewId="0">
      <selection activeCell="C4" sqref="C4"/>
    </sheetView>
  </sheetViews>
  <sheetFormatPr baseColWidth="10" defaultRowHeight="15" customHeight="1"/>
  <cols>
    <col min="1" max="1" width="41.85546875" style="68" customWidth="1"/>
    <col min="2" max="11" width="14.7109375" style="98" customWidth="1"/>
    <col min="12" max="12" width="5.7109375" style="98" customWidth="1"/>
    <col min="13" max="13" width="18.7109375" style="100" customWidth="1"/>
    <col min="14" max="14" width="14.7109375" style="100" customWidth="1"/>
    <col min="15" max="16384" width="11.42578125" style="33"/>
  </cols>
  <sheetData>
    <row r="3" spans="1:15" ht="54.75" customHeight="1">
      <c r="B3" s="2" t="s">
        <v>15</v>
      </c>
      <c r="C3" s="2" t="s">
        <v>71</v>
      </c>
      <c r="D3" s="2" t="s">
        <v>16</v>
      </c>
      <c r="E3" s="2" t="s">
        <v>72</v>
      </c>
      <c r="F3" s="2" t="s">
        <v>17</v>
      </c>
      <c r="G3" s="2" t="s">
        <v>73</v>
      </c>
      <c r="H3" s="2" t="s">
        <v>28</v>
      </c>
      <c r="I3" s="2" t="s">
        <v>38</v>
      </c>
      <c r="J3" s="2" t="s">
        <v>27</v>
      </c>
      <c r="K3" s="2" t="s">
        <v>32</v>
      </c>
      <c r="M3" s="102" t="s">
        <v>34</v>
      </c>
      <c r="N3" s="22" t="s">
        <v>33</v>
      </c>
    </row>
    <row r="4" spans="1:15" ht="15" customHeight="1">
      <c r="A4" s="69" t="s">
        <v>3</v>
      </c>
      <c r="B4" s="76">
        <v>320930664</v>
      </c>
      <c r="C4" s="76">
        <f>B4*N4</f>
        <v>434578867.25682682</v>
      </c>
      <c r="D4" s="76">
        <v>563888414</v>
      </c>
      <c r="E4" s="76">
        <f>D4*N5</f>
        <v>653705819.77447939</v>
      </c>
      <c r="F4" s="76">
        <v>792694615</v>
      </c>
      <c r="G4" s="76">
        <f>F4*N6</f>
        <v>842011756.88521254</v>
      </c>
      <c r="H4" s="76">
        <v>827371506</v>
      </c>
      <c r="I4" s="76">
        <f>H4*N7</f>
        <v>853046023.2288444</v>
      </c>
      <c r="J4" s="76">
        <v>873948314</v>
      </c>
      <c r="K4" s="93">
        <f>(J4-I4)/I4</f>
        <v>2.4503121991049003E-2</v>
      </c>
      <c r="M4" s="103" t="s">
        <v>39</v>
      </c>
      <c r="N4" s="25">
        <f>(B27/B26)*(B33/B28)</f>
        <v>1.3541207369851913</v>
      </c>
    </row>
    <row r="5" spans="1:15" ht="15" customHeight="1">
      <c r="A5" s="69" t="s">
        <v>6</v>
      </c>
      <c r="B5" s="76">
        <v>29719174</v>
      </c>
      <c r="C5" s="76">
        <f>B5*N4</f>
        <v>40243349.799471132</v>
      </c>
      <c r="D5" s="76">
        <v>39913868</v>
      </c>
      <c r="E5" s="76">
        <f>D5*N5</f>
        <v>46271438.024811693</v>
      </c>
      <c r="F5" s="76">
        <v>44273690</v>
      </c>
      <c r="G5" s="76">
        <f>F5*N6</f>
        <v>47028157.874758951</v>
      </c>
      <c r="H5" s="76">
        <v>45177781</v>
      </c>
      <c r="I5" s="76">
        <f>H5*N7</f>
        <v>46579711.944241941</v>
      </c>
      <c r="J5" s="76">
        <v>47703315</v>
      </c>
      <c r="K5" s="93">
        <f>(J5-I5)/I5</f>
        <v>2.412215552348335E-2</v>
      </c>
      <c r="M5" s="103" t="s">
        <v>40</v>
      </c>
      <c r="N5" s="25">
        <f>B33/B28</f>
        <v>1.1592822330527248</v>
      </c>
    </row>
    <row r="6" spans="1:15" ht="15" customHeight="1">
      <c r="A6" s="69" t="s">
        <v>4</v>
      </c>
      <c r="B6" s="76">
        <v>122151869</v>
      </c>
      <c r="C6" s="76">
        <f>B6*N4</f>
        <v>165408378.87439853</v>
      </c>
      <c r="D6" s="76">
        <v>192716737</v>
      </c>
      <c r="E6" s="76">
        <f>D6*N5</f>
        <v>223413089.21599469</v>
      </c>
      <c r="F6" s="76">
        <v>276456718</v>
      </c>
      <c r="G6" s="76">
        <f>F6*N6</f>
        <v>293656349.39490509</v>
      </c>
      <c r="H6" s="76">
        <v>301087729</v>
      </c>
      <c r="I6" s="76">
        <f>H6*N7</f>
        <v>310430910.42399764</v>
      </c>
      <c r="J6" s="76">
        <v>340971488</v>
      </c>
      <c r="K6" s="258">
        <f t="shared" ref="K6:K7" si="0">(J6-I6)/I6</f>
        <v>9.8381238950364019E-2</v>
      </c>
      <c r="M6" s="103" t="s">
        <v>41</v>
      </c>
      <c r="N6" s="25">
        <f>B33/B31</f>
        <v>1.0622145539429615</v>
      </c>
      <c r="O6" s="46"/>
    </row>
    <row r="7" spans="1:15" ht="15" customHeight="1">
      <c r="A7" s="69" t="s">
        <v>9</v>
      </c>
      <c r="B7" s="76">
        <v>1243234</v>
      </c>
      <c r="C7" s="76">
        <f>B7*N4</f>
        <v>1683488.9403250474</v>
      </c>
      <c r="D7" s="76">
        <v>5755841</v>
      </c>
      <c r="E7" s="76">
        <f>D7*N5</f>
        <v>6672644.2075764285</v>
      </c>
      <c r="F7" s="76">
        <v>30235795</v>
      </c>
      <c r="G7" s="76">
        <f>F7*N6</f>
        <v>32116901.499035824</v>
      </c>
      <c r="H7" s="76">
        <v>37029713</v>
      </c>
      <c r="I7" s="76">
        <f>H7*N7</f>
        <v>38178797.779332086</v>
      </c>
      <c r="J7" s="76">
        <v>38364489</v>
      </c>
      <c r="K7" s="259">
        <f t="shared" si="0"/>
        <v>4.8637262425386433E-3</v>
      </c>
      <c r="M7" s="103" t="s">
        <v>42</v>
      </c>
      <c r="N7" s="25">
        <f>B33/B32</f>
        <v>1.0310314254753226</v>
      </c>
    </row>
    <row r="8" spans="1:15" ht="15" customHeight="1">
      <c r="A8" s="69" t="s">
        <v>70</v>
      </c>
      <c r="B8" s="76">
        <v>6969472</v>
      </c>
      <c r="C8" s="76">
        <f>B8*N4</f>
        <v>9437506.5610376559</v>
      </c>
      <c r="D8" s="76">
        <v>23968642</v>
      </c>
      <c r="E8" s="76">
        <f>D8*N5</f>
        <v>27786420.821001329</v>
      </c>
      <c r="F8" s="76">
        <v>24412381</v>
      </c>
      <c r="G8" s="76">
        <f>F8*N6</f>
        <v>25931186.39460063</v>
      </c>
      <c r="H8" s="76">
        <v>32160950</v>
      </c>
      <c r="I8" s="76">
        <f>H8*N7</f>
        <v>33158950.123140574</v>
      </c>
      <c r="J8" s="76">
        <v>31438861</v>
      </c>
      <c r="K8" s="93">
        <f>(J8-I8)/I8</f>
        <v>-5.1874052608806155E-2</v>
      </c>
      <c r="M8" s="103"/>
      <c r="N8" s="25"/>
    </row>
    <row r="9" spans="1:15" ht="15" customHeight="1">
      <c r="A9" s="69" t="s">
        <v>8</v>
      </c>
      <c r="B9" s="76">
        <v>77876780</v>
      </c>
      <c r="C9" s="76">
        <f>B9*N4</f>
        <v>105454562.72763361</v>
      </c>
      <c r="D9" s="76">
        <v>102543779</v>
      </c>
      <c r="E9" s="76">
        <f>D9*N5</f>
        <v>118877181.10478511</v>
      </c>
      <c r="F9" s="76">
        <v>125160080</v>
      </c>
      <c r="G9" s="76">
        <f>F9*N6</f>
        <v>132946858.54866537</v>
      </c>
      <c r="H9" s="76">
        <v>129227014</v>
      </c>
      <c r="I9" s="76">
        <f>H9*N7</f>
        <v>133237112.45433946</v>
      </c>
      <c r="J9" s="76">
        <v>146359828</v>
      </c>
      <c r="K9" s="93">
        <f>(J9-I9)/I9</f>
        <v>9.8491443592022554E-2</v>
      </c>
    </row>
    <row r="10" spans="1:15" ht="15" customHeight="1">
      <c r="A10" s="69" t="s">
        <v>2</v>
      </c>
      <c r="B10" s="76">
        <v>86469013</v>
      </c>
      <c r="C10" s="76">
        <f>B10*N4</f>
        <v>117089483.60994209</v>
      </c>
      <c r="D10" s="76">
        <v>159616987</v>
      </c>
      <c r="E10" s="76">
        <f>D10*N5</f>
        <v>185041137.12250775</v>
      </c>
      <c r="F10" s="76">
        <v>214497712</v>
      </c>
      <c r="G10" s="76">
        <f>F10*N6</f>
        <v>227842591.47386581</v>
      </c>
      <c r="H10" s="76">
        <v>233812020</v>
      </c>
      <c r="I10" s="76">
        <f>H10*N7</f>
        <v>241067540.27386463</v>
      </c>
      <c r="J10" s="76">
        <v>256205613</v>
      </c>
      <c r="K10" s="93">
        <f>(J10-I10)/I10</f>
        <v>6.2795981196546724E-2</v>
      </c>
    </row>
    <row r="11" spans="1:15" ht="15" customHeight="1">
      <c r="A11" s="69" t="s">
        <v>18</v>
      </c>
      <c r="B11" s="6"/>
      <c r="C11" s="6"/>
      <c r="D11" s="6"/>
      <c r="E11" s="6"/>
      <c r="F11" s="76">
        <v>683998</v>
      </c>
      <c r="G11" s="76">
        <f>F11*N6</f>
        <v>726552.63046787772</v>
      </c>
      <c r="H11" s="76">
        <v>3092118</v>
      </c>
      <c r="I11" s="76">
        <f>H11*N7</f>
        <v>3188070.8292779033</v>
      </c>
      <c r="J11" s="94"/>
      <c r="K11" s="93" t="s">
        <v>31</v>
      </c>
    </row>
    <row r="12" spans="1:15" ht="15" customHeight="1">
      <c r="A12" s="69" t="s">
        <v>29</v>
      </c>
      <c r="B12" s="6"/>
      <c r="C12" s="6"/>
      <c r="D12" s="6"/>
      <c r="E12" s="6"/>
      <c r="F12" s="94"/>
      <c r="G12" s="94"/>
      <c r="H12" s="94"/>
      <c r="I12" s="94"/>
      <c r="J12" s="84">
        <v>3086380</v>
      </c>
      <c r="K12" s="95" t="s">
        <v>31</v>
      </c>
    </row>
    <row r="13" spans="1:15" ht="15" customHeight="1">
      <c r="A13" s="69" t="s">
        <v>30</v>
      </c>
      <c r="B13" s="6"/>
      <c r="C13" s="6"/>
      <c r="D13" s="6"/>
      <c r="E13" s="6"/>
      <c r="F13" s="94"/>
      <c r="G13" s="94"/>
      <c r="H13" s="94"/>
      <c r="I13" s="94"/>
      <c r="J13" s="84">
        <v>2942689</v>
      </c>
      <c r="K13" s="95" t="s">
        <v>31</v>
      </c>
    </row>
    <row r="14" spans="1:15" ht="15" customHeight="1">
      <c r="A14" s="69" t="s">
        <v>5</v>
      </c>
      <c r="B14" s="76">
        <v>60021330</v>
      </c>
      <c r="C14" s="76">
        <f>B14*N4</f>
        <v>81276127.614431366</v>
      </c>
      <c r="D14" s="76">
        <v>90599680</v>
      </c>
      <c r="E14" s="76">
        <f>D14*N5</f>
        <v>105030599.34426229</v>
      </c>
      <c r="F14" s="76">
        <v>114561582</v>
      </c>
      <c r="G14" s="76">
        <f>F14*N6</f>
        <v>121688979.72313</v>
      </c>
      <c r="H14" s="76">
        <v>133360239</v>
      </c>
      <c r="I14" s="76">
        <f>H14*N7</f>
        <v>137498597.3178997</v>
      </c>
      <c r="J14" s="76">
        <v>159418456</v>
      </c>
      <c r="K14" s="258">
        <f t="shared" ref="K14:K15" si="1">(J14-I14)/I14</f>
        <v>0.15941878033432672</v>
      </c>
    </row>
    <row r="15" spans="1:15" ht="26.25" customHeight="1">
      <c r="A15" s="69" t="s">
        <v>10</v>
      </c>
      <c r="B15" s="76">
        <v>21334078</v>
      </c>
      <c r="C15" s="76">
        <f>B15*N4</f>
        <v>28888917.424259555</v>
      </c>
      <c r="D15" s="76">
        <v>44949966</v>
      </c>
      <c r="E15" s="76">
        <f>D15*N5</f>
        <v>52109696.960124061</v>
      </c>
      <c r="F15" s="76">
        <v>59611840</v>
      </c>
      <c r="G15" s="76">
        <f>F15*N6</f>
        <v>63320564.035319187</v>
      </c>
      <c r="H15" s="76">
        <v>63768040</v>
      </c>
      <c r="I15" s="76">
        <f>H15*N7</f>
        <v>65746853.180967391</v>
      </c>
      <c r="J15" s="76">
        <v>76724308</v>
      </c>
      <c r="K15" s="259">
        <f t="shared" si="1"/>
        <v>0.16696547877078319</v>
      </c>
    </row>
    <row r="16" spans="1:15" ht="15" customHeight="1">
      <c r="A16" s="69" t="s">
        <v>1</v>
      </c>
      <c r="B16" s="6"/>
      <c r="C16" s="6"/>
      <c r="D16" s="6"/>
      <c r="E16" s="6"/>
      <c r="F16" s="76">
        <v>47100213</v>
      </c>
      <c r="G16" s="76">
        <f>F16*N6</f>
        <v>50030531.742413476</v>
      </c>
      <c r="H16" s="76">
        <v>55009605</v>
      </c>
      <c r="I16" s="76">
        <f>H16*N7</f>
        <v>56716631.457984433</v>
      </c>
      <c r="J16" s="76">
        <v>62315007</v>
      </c>
      <c r="K16" s="93">
        <f>(J16-I16)/I16</f>
        <v>9.8707828693296654E-2</v>
      </c>
    </row>
    <row r="17" spans="1:11" ht="15" customHeight="1">
      <c r="A17" s="69" t="s">
        <v>14</v>
      </c>
      <c r="B17" s="76">
        <v>13435429</v>
      </c>
      <c r="C17" s="76">
        <f>B17*N4</f>
        <v>18193193.019192211</v>
      </c>
      <c r="D17" s="76">
        <v>31530048</v>
      </c>
      <c r="E17" s="76">
        <f>D17*N5</f>
        <v>36552224.453699604</v>
      </c>
      <c r="F17" s="6"/>
      <c r="G17" s="6"/>
      <c r="H17" s="6"/>
      <c r="I17" s="6"/>
      <c r="J17" s="6"/>
      <c r="K17" s="96"/>
    </row>
    <row r="18" spans="1:11" ht="15" customHeight="1">
      <c r="A18" s="69" t="s">
        <v>7</v>
      </c>
      <c r="B18" s="76">
        <v>9075500</v>
      </c>
      <c r="C18" s="76">
        <f>B18*N4</f>
        <v>12289322.748509103</v>
      </c>
      <c r="D18" s="76">
        <v>22209799</v>
      </c>
      <c r="E18" s="76">
        <f>D18*N5</f>
        <v>25747425.380372174</v>
      </c>
      <c r="F18" s="76">
        <v>27632075</v>
      </c>
      <c r="G18" s="76">
        <f>F18*N6</f>
        <v>29351192.220643457</v>
      </c>
      <c r="H18" s="76">
        <v>29262499</v>
      </c>
      <c r="I18" s="76">
        <f>H18*N7</f>
        <v>30170556.056940202</v>
      </c>
      <c r="J18" s="76">
        <v>34314965</v>
      </c>
      <c r="K18" s="93">
        <f>(J18-I18)/I18</f>
        <v>0.1373660112607189</v>
      </c>
    </row>
    <row r="19" spans="1:11" ht="15" customHeight="1">
      <c r="A19" s="69" t="s">
        <v>13</v>
      </c>
      <c r="B19" s="76">
        <v>12496006</v>
      </c>
      <c r="C19" s="76">
        <f>B19*N4</f>
        <v>16921100.854091372</v>
      </c>
      <c r="D19" s="76">
        <v>21895775</v>
      </c>
      <c r="E19" s="76">
        <f>D19*N5</f>
        <v>25383382.936420027</v>
      </c>
      <c r="F19" s="6"/>
      <c r="G19" s="6"/>
      <c r="H19" s="6"/>
      <c r="I19" s="6"/>
      <c r="J19" s="6"/>
      <c r="K19" s="96"/>
    </row>
    <row r="20" spans="1:11" ht="15" customHeight="1">
      <c r="A20" s="69" t="s">
        <v>0</v>
      </c>
      <c r="B20" s="6"/>
      <c r="C20" s="6"/>
      <c r="D20" s="6"/>
      <c r="E20" s="6"/>
      <c r="F20" s="76">
        <v>33838727</v>
      </c>
      <c r="G20" s="76">
        <f>F20*N6</f>
        <v>35943988.306302644</v>
      </c>
      <c r="H20" s="76">
        <v>29586540</v>
      </c>
      <c r="I20" s="76">
        <f>H20*N7</f>
        <v>30504652.511082649</v>
      </c>
      <c r="J20" s="76">
        <v>50408538</v>
      </c>
      <c r="K20" s="257">
        <f t="shared" ref="K20:K21" si="2">(J20-I20)/I20</f>
        <v>0.65248687824541085</v>
      </c>
    </row>
    <row r="21" spans="1:11" ht="30.75" customHeight="1">
      <c r="A21" s="69" t="s">
        <v>12</v>
      </c>
      <c r="B21" s="6"/>
      <c r="C21" s="6"/>
      <c r="D21" s="6"/>
      <c r="E21" s="6"/>
      <c r="F21" s="76">
        <v>0</v>
      </c>
      <c r="G21" s="76">
        <f>F21*N6</f>
        <v>0</v>
      </c>
      <c r="H21" s="76">
        <v>5600804</v>
      </c>
      <c r="I21" s="76">
        <f>H21*N7</f>
        <v>5774604.9319278887</v>
      </c>
      <c r="J21" s="76">
        <v>5861743</v>
      </c>
      <c r="K21" s="257">
        <f t="shared" si="2"/>
        <v>1.5089875255417646E-2</v>
      </c>
    </row>
    <row r="22" spans="1:11" ht="15" customHeight="1">
      <c r="A22" s="70" t="s">
        <v>11</v>
      </c>
      <c r="B22" s="85">
        <f t="shared" ref="B22:J22" si="3">SUM(B4:B21)</f>
        <v>761722549</v>
      </c>
      <c r="C22" s="85">
        <f t="shared" si="3"/>
        <v>1031464299.4301184</v>
      </c>
      <c r="D22" s="85">
        <f t="shared" si="3"/>
        <v>1299589536</v>
      </c>
      <c r="E22" s="85">
        <f t="shared" si="3"/>
        <v>1506591059.3460348</v>
      </c>
      <c r="F22" s="85">
        <f t="shared" si="3"/>
        <v>1791159426</v>
      </c>
      <c r="G22" s="85">
        <f t="shared" si="3"/>
        <v>1902595610.7293208</v>
      </c>
      <c r="H22" s="85">
        <f t="shared" si="3"/>
        <v>1925546558</v>
      </c>
      <c r="I22" s="85">
        <f t="shared" si="3"/>
        <v>1985299012.5138412</v>
      </c>
      <c r="J22" s="85">
        <f t="shared" si="3"/>
        <v>2130063994</v>
      </c>
      <c r="K22" s="97">
        <f>(J22-I22)/I22</f>
        <v>7.2918477556110486E-2</v>
      </c>
    </row>
    <row r="23" spans="1:11" ht="15" customHeight="1">
      <c r="A23" s="101" t="s">
        <v>44</v>
      </c>
    </row>
    <row r="24" spans="1:11" ht="15" customHeight="1">
      <c r="A24" s="101" t="s">
        <v>43</v>
      </c>
      <c r="J24" s="99">
        <f>(J22-C22)/C22</f>
        <v>1.0650874636929801</v>
      </c>
    </row>
    <row r="25" spans="1:11" ht="15" customHeight="1">
      <c r="J25" s="99">
        <f>(J22-E22)/E22</f>
        <v>0.41383023666992674</v>
      </c>
    </row>
    <row r="26" spans="1:11" ht="15" customHeight="1">
      <c r="A26" s="68" t="s">
        <v>49</v>
      </c>
      <c r="B26" s="98">
        <v>84.43</v>
      </c>
    </row>
    <row r="27" spans="1:11" ht="15" customHeight="1">
      <c r="A27" s="68" t="s">
        <v>50</v>
      </c>
      <c r="B27" s="98">
        <v>98.62</v>
      </c>
    </row>
    <row r="28" spans="1:11" ht="15" customHeight="1">
      <c r="A28" s="68" t="s">
        <v>45</v>
      </c>
      <c r="B28" s="98">
        <v>90.28</v>
      </c>
    </row>
    <row r="29" spans="1:11" ht="15" customHeight="1">
      <c r="A29" s="68" t="s">
        <v>57</v>
      </c>
      <c r="B29" s="98">
        <v>92.97</v>
      </c>
    </row>
    <row r="30" spans="1:11" ht="15" customHeight="1">
      <c r="A30" s="68" t="s">
        <v>58</v>
      </c>
      <c r="B30" s="98">
        <v>97.09</v>
      </c>
    </row>
    <row r="31" spans="1:11" ht="15" customHeight="1">
      <c r="A31" s="68" t="s">
        <v>46</v>
      </c>
      <c r="B31" s="98">
        <v>98.53</v>
      </c>
    </row>
    <row r="32" spans="1:11" ht="15" customHeight="1">
      <c r="A32" s="68" t="s">
        <v>47</v>
      </c>
      <c r="B32" s="98">
        <v>101.51</v>
      </c>
    </row>
    <row r="33" spans="1:2" ht="15" customHeight="1">
      <c r="A33" s="68" t="s">
        <v>48</v>
      </c>
      <c r="B33" s="98">
        <v>104.66</v>
      </c>
    </row>
  </sheetData>
  <sortState ref="A2:B12">
    <sortCondition ref="A2"/>
  </sortState>
  <mergeCells count="3">
    <mergeCell ref="K20:K21"/>
    <mergeCell ref="K6:K7"/>
    <mergeCell ref="K14:K1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M33"/>
  <sheetViews>
    <sheetView topLeftCell="A10" workbookViewId="0">
      <selection activeCell="J22" sqref="J22"/>
    </sheetView>
  </sheetViews>
  <sheetFormatPr baseColWidth="10" defaultRowHeight="15"/>
  <cols>
    <col min="1" max="1" width="14.140625" customWidth="1"/>
    <col min="2" max="2" width="20.7109375" customWidth="1"/>
    <col min="3" max="3" width="19.140625" customWidth="1"/>
    <col min="4" max="4" width="12.7109375" customWidth="1"/>
  </cols>
  <sheetData>
    <row r="3" spans="1:13">
      <c r="B3" s="146" t="s">
        <v>117</v>
      </c>
      <c r="C3">
        <v>2016</v>
      </c>
      <c r="D3">
        <v>2015</v>
      </c>
    </row>
    <row r="4" spans="1:13">
      <c r="A4" s="147" t="s">
        <v>0</v>
      </c>
      <c r="B4" s="146"/>
    </row>
    <row r="5" spans="1:13" ht="35.25" customHeight="1">
      <c r="A5" s="146" t="s">
        <v>115</v>
      </c>
      <c r="B5" s="146">
        <v>5</v>
      </c>
      <c r="C5" s="136">
        <v>766237</v>
      </c>
      <c r="D5" s="136">
        <v>530450</v>
      </c>
      <c r="E5" s="153">
        <f>(C5-D5)/D5</f>
        <v>0.44450372325384108</v>
      </c>
    </row>
    <row r="6" spans="1:13" ht="45">
      <c r="A6" s="146" t="s">
        <v>116</v>
      </c>
      <c r="B6" s="146">
        <v>9</v>
      </c>
      <c r="C6" s="136">
        <v>26491375</v>
      </c>
      <c r="D6" s="136">
        <v>24688879</v>
      </c>
      <c r="E6" s="153">
        <f>(C6-D6)/D6</f>
        <v>7.3008418081679613E-2</v>
      </c>
    </row>
    <row r="7" spans="1:13" ht="60">
      <c r="A7" s="146" t="s">
        <v>118</v>
      </c>
      <c r="B7" s="146">
        <v>6</v>
      </c>
      <c r="C7" s="136">
        <v>10981600</v>
      </c>
      <c r="D7" s="136">
        <v>10963162</v>
      </c>
    </row>
    <row r="8" spans="1:13" ht="60">
      <c r="A8" s="146" t="s">
        <v>119</v>
      </c>
      <c r="B8" s="146">
        <v>8</v>
      </c>
      <c r="C8" s="136">
        <v>4899869</v>
      </c>
      <c r="D8" s="136">
        <v>4720490</v>
      </c>
    </row>
    <row r="12" spans="1:13" ht="30">
      <c r="A12" s="169" t="s">
        <v>131</v>
      </c>
      <c r="B12" s="169" t="s">
        <v>132</v>
      </c>
      <c r="C12" s="169">
        <v>2015</v>
      </c>
      <c r="D12" s="169">
        <v>2016</v>
      </c>
      <c r="E12" s="169" t="s">
        <v>129</v>
      </c>
      <c r="G12" t="s">
        <v>108</v>
      </c>
      <c r="H12" t="s">
        <v>33</v>
      </c>
      <c r="I12" t="s">
        <v>110</v>
      </c>
    </row>
    <row r="13" spans="1:13">
      <c r="A13" s="268" t="s">
        <v>0</v>
      </c>
      <c r="B13" s="165" t="s">
        <v>115</v>
      </c>
      <c r="C13" s="218">
        <f>530450*I24</f>
        <v>548727.60308793175</v>
      </c>
      <c r="D13" s="218">
        <v>766237</v>
      </c>
      <c r="E13" s="215">
        <f>(D13-C13)/C13</f>
        <v>0.39638865566092746</v>
      </c>
      <c r="G13" s="166">
        <v>38718</v>
      </c>
      <c r="H13" s="167">
        <v>78.373979714317002</v>
      </c>
      <c r="I13" s="167">
        <v>1.4019959226330778</v>
      </c>
    </row>
    <row r="14" spans="1:13" ht="45">
      <c r="A14" s="268"/>
      <c r="B14" s="246" t="s">
        <v>118</v>
      </c>
      <c r="C14" s="247">
        <f>10963162*I24</f>
        <v>11340917.346639073</v>
      </c>
      <c r="D14" s="247">
        <v>10981600</v>
      </c>
      <c r="E14" s="248">
        <f>(D14-C14)/C14</f>
        <v>-3.1683270026260944E-2</v>
      </c>
      <c r="G14" s="166">
        <v>39083</v>
      </c>
      <c r="H14" s="167">
        <v>81.828546349839655</v>
      </c>
      <c r="I14" s="167">
        <v>1.3428076741120711</v>
      </c>
    </row>
    <row r="15" spans="1:13" ht="30">
      <c r="A15" s="268"/>
      <c r="B15" s="243" t="s">
        <v>116</v>
      </c>
      <c r="C15" s="244">
        <f>24688879*I24</f>
        <v>25539578.464695964</v>
      </c>
      <c r="D15" s="244">
        <v>26491375</v>
      </c>
      <c r="E15" s="245">
        <f t="shared" ref="E15:E19" si="0">(D15-C15)/C15</f>
        <v>3.726751154564785E-2</v>
      </c>
      <c r="G15" s="166">
        <v>39448</v>
      </c>
      <c r="H15" s="167">
        <v>88.960942198429336</v>
      </c>
      <c r="I15" s="167">
        <v>1.2351487887224737</v>
      </c>
      <c r="K15">
        <f>C15/52</f>
        <v>491145.73970569164</v>
      </c>
      <c r="L15">
        <f>K15-K16</f>
        <v>133154.18565163756</v>
      </c>
      <c r="M15" s="146"/>
    </row>
    <row r="16" spans="1:13" ht="60">
      <c r="A16" s="268" t="s">
        <v>4</v>
      </c>
      <c r="B16" s="165" t="s">
        <v>144</v>
      </c>
      <c r="C16" s="219">
        <f>1721311*I24</f>
        <v>1780621.8478629293</v>
      </c>
      <c r="D16" s="219">
        <v>1786721</v>
      </c>
      <c r="E16" s="215">
        <f t="shared" ref="E16:E17" si="1">(D16-C16)/C16</f>
        <v>3.4252933290640879E-3</v>
      </c>
      <c r="G16" s="166">
        <v>39814</v>
      </c>
      <c r="H16" s="110">
        <v>90.28</v>
      </c>
      <c r="I16" s="167">
        <v>1.2171023482498893</v>
      </c>
      <c r="K16">
        <f>D15/74</f>
        <v>357991.55405405408</v>
      </c>
      <c r="L16" s="153">
        <f>L15/K15</f>
        <v>0.27110931621116635</v>
      </c>
    </row>
    <row r="17" spans="1:9" ht="60">
      <c r="A17" s="268"/>
      <c r="B17" s="165" t="s">
        <v>145</v>
      </c>
      <c r="C17" s="219">
        <f>696890*I24</f>
        <v>720902.59084918234</v>
      </c>
      <c r="D17" s="219">
        <v>723372</v>
      </c>
      <c r="E17" s="215">
        <f t="shared" si="1"/>
        <v>3.4254408045736673E-3</v>
      </c>
      <c r="G17" s="166">
        <v>40179</v>
      </c>
      <c r="H17" s="168">
        <v>92.004999999999995</v>
      </c>
      <c r="I17" s="167">
        <v>1.1942829194065541</v>
      </c>
    </row>
    <row r="18" spans="1:9" ht="30">
      <c r="A18" s="268" t="s">
        <v>5</v>
      </c>
      <c r="B18" s="165" t="s">
        <v>86</v>
      </c>
      <c r="C18" s="218">
        <f>22326958*I24</f>
        <v>23096273.254001174</v>
      </c>
      <c r="D18" s="218">
        <v>22728030</v>
      </c>
      <c r="E18" s="215">
        <f t="shared" si="0"/>
        <v>-1.5943838642339409E-2</v>
      </c>
      <c r="G18" s="166">
        <v>40544</v>
      </c>
      <c r="H18" s="168">
        <v>95.079166666666694</v>
      </c>
      <c r="I18" s="167">
        <v>1.1556685218458298</v>
      </c>
    </row>
    <row r="19" spans="1:9" ht="43.5" customHeight="1">
      <c r="A19" s="268"/>
      <c r="B19" s="246" t="s">
        <v>85</v>
      </c>
      <c r="C19" s="247">
        <f>128311150*I24</f>
        <v>132732340.0677841</v>
      </c>
      <c r="D19" s="247">
        <v>142166097</v>
      </c>
      <c r="E19" s="248">
        <f t="shared" si="0"/>
        <v>7.1073537371512049E-2</v>
      </c>
      <c r="G19" s="166">
        <v>40909</v>
      </c>
      <c r="H19" s="168">
        <v>97.9375</v>
      </c>
      <c r="I19" s="167">
        <v>1.1219400127632417</v>
      </c>
    </row>
    <row r="20" spans="1:9">
      <c r="D20" s="136"/>
      <c r="G20" s="166">
        <v>41275</v>
      </c>
      <c r="H20" s="168">
        <v>99.694166666666703</v>
      </c>
      <c r="I20" s="167">
        <v>1.1021708057141419</v>
      </c>
    </row>
    <row r="21" spans="1:9">
      <c r="G21" s="166">
        <v>41640</v>
      </c>
      <c r="H21" s="168">
        <v>104.394731008333</v>
      </c>
      <c r="I21" s="167">
        <v>1.0525435425589549</v>
      </c>
    </row>
    <row r="22" spans="1:9">
      <c r="B22" t="s">
        <v>130</v>
      </c>
      <c r="C22" s="136">
        <v>38364489</v>
      </c>
      <c r="D22" s="136">
        <v>40855757</v>
      </c>
      <c r="G22">
        <v>2015</v>
      </c>
      <c r="H22" s="168">
        <v>109.88</v>
      </c>
      <c r="I22" s="167">
        <v>1</v>
      </c>
    </row>
    <row r="24" spans="1:9">
      <c r="I24" s="167">
        <v>1.0344567877989099</v>
      </c>
    </row>
    <row r="25" spans="1:9">
      <c r="B25" t="s">
        <v>86</v>
      </c>
      <c r="C25" s="136">
        <v>22326958</v>
      </c>
      <c r="D25" s="136">
        <v>22728030</v>
      </c>
    </row>
    <row r="29" spans="1:9">
      <c r="B29" t="s">
        <v>142</v>
      </c>
      <c r="C29" t="s">
        <v>143</v>
      </c>
    </row>
    <row r="30" spans="1:9">
      <c r="B30" s="136">
        <v>38942514929</v>
      </c>
      <c r="C30" s="171">
        <v>42040361401</v>
      </c>
      <c r="D30" s="60"/>
    </row>
    <row r="31" spans="1:9">
      <c r="B31">
        <f>B30*I24</f>
        <v>40284348902.264435</v>
      </c>
      <c r="C31" s="136">
        <f>C30</f>
        <v>42040361401</v>
      </c>
      <c r="D31" s="60">
        <f>(C31-B31)/B31</f>
        <v>4.35904401234311E-2</v>
      </c>
    </row>
    <row r="32" spans="1:9">
      <c r="B32" s="47">
        <v>2203459157.0393524</v>
      </c>
      <c r="C32" s="150">
        <v>2366581899</v>
      </c>
    </row>
    <row r="33" spans="2:3">
      <c r="B33" s="154">
        <f>B32/B31</f>
        <v>5.4697648518169127E-2</v>
      </c>
      <c r="C33" s="154">
        <f>C32/C31</f>
        <v>5.6293091213618987E-2</v>
      </c>
    </row>
  </sheetData>
  <mergeCells count="3">
    <mergeCell ref="A13:A15"/>
    <mergeCell ref="A16:A17"/>
    <mergeCell ref="A18:A1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77"/>
  <sheetViews>
    <sheetView topLeftCell="A88" zoomScale="85" zoomScaleNormal="85" workbookViewId="0">
      <selection activeCell="C84" sqref="C84"/>
    </sheetView>
  </sheetViews>
  <sheetFormatPr baseColWidth="10" defaultRowHeight="15"/>
  <cols>
    <col min="1" max="1" width="20.5703125" customWidth="1"/>
    <col min="2" max="2" width="21.85546875" customWidth="1"/>
    <col min="3" max="3" width="21.5703125" customWidth="1"/>
    <col min="4" max="4" width="20.7109375" customWidth="1"/>
    <col min="5" max="5" width="17.42578125" customWidth="1"/>
    <col min="6" max="6" width="20.7109375" customWidth="1"/>
    <col min="7" max="7" width="17.42578125" customWidth="1"/>
    <col min="8" max="8" width="17.28515625" customWidth="1"/>
    <col min="9" max="9" width="19" customWidth="1"/>
    <col min="10" max="11" width="14.42578125" customWidth="1"/>
    <col min="12" max="12" width="21.85546875" customWidth="1"/>
    <col min="13" max="13" width="14.42578125" customWidth="1"/>
    <col min="14" max="14" width="17.140625" customWidth="1"/>
    <col min="15" max="15" width="17.85546875" customWidth="1"/>
  </cols>
  <sheetData>
    <row r="2" spans="1:15">
      <c r="A2" s="157"/>
      <c r="B2" s="186" t="s">
        <v>121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5" ht="60">
      <c r="A3" s="157"/>
      <c r="B3" s="187" t="s">
        <v>15</v>
      </c>
      <c r="C3" s="188" t="s">
        <v>105</v>
      </c>
      <c r="D3" s="188" t="s">
        <v>106</v>
      </c>
      <c r="E3" s="188" t="s">
        <v>107</v>
      </c>
      <c r="F3" s="188" t="s">
        <v>16</v>
      </c>
      <c r="G3" s="188" t="s">
        <v>21</v>
      </c>
      <c r="H3" s="188" t="s">
        <v>22</v>
      </c>
      <c r="I3" s="188" t="s">
        <v>17</v>
      </c>
      <c r="J3" s="188" t="s">
        <v>28</v>
      </c>
      <c r="K3" s="188" t="s">
        <v>54</v>
      </c>
      <c r="L3" s="188" t="s">
        <v>103</v>
      </c>
    </row>
    <row r="4" spans="1:15">
      <c r="A4" s="157"/>
      <c r="B4" s="187">
        <v>2006</v>
      </c>
      <c r="C4" s="187">
        <v>2007</v>
      </c>
      <c r="D4" s="187">
        <v>2008</v>
      </c>
      <c r="E4" s="187">
        <v>2009</v>
      </c>
      <c r="F4" s="187">
        <v>2010</v>
      </c>
      <c r="G4" s="187">
        <v>2011</v>
      </c>
      <c r="H4" s="187">
        <v>2012</v>
      </c>
      <c r="I4" s="187">
        <v>2013</v>
      </c>
      <c r="J4" s="187">
        <v>2014</v>
      </c>
      <c r="K4" s="187">
        <v>2015</v>
      </c>
      <c r="L4" s="187">
        <v>2016</v>
      </c>
      <c r="N4" s="65" t="s">
        <v>127</v>
      </c>
      <c r="O4" s="162">
        <v>42040361401</v>
      </c>
    </row>
    <row r="5" spans="1:15">
      <c r="A5" s="157" t="s">
        <v>120</v>
      </c>
      <c r="B5" s="189">
        <v>1082858092.3798149</v>
      </c>
      <c r="C5" s="190">
        <v>1195682967.9522717</v>
      </c>
      <c r="D5" s="190">
        <v>1244273235.4371889</v>
      </c>
      <c r="E5" s="190">
        <v>1330369285.8232529</v>
      </c>
      <c r="F5" s="191">
        <v>1581733476.0265839</v>
      </c>
      <c r="G5" s="191">
        <v>1812064624.3063354</v>
      </c>
      <c r="H5" s="191">
        <v>1875907833.5054073</v>
      </c>
      <c r="I5" s="191">
        <v>1997489066.5673399</v>
      </c>
      <c r="J5" s="191">
        <v>2084317365.7082059</v>
      </c>
      <c r="K5" s="191">
        <v>2203459157.0393524</v>
      </c>
      <c r="L5" s="192">
        <v>2366581899</v>
      </c>
      <c r="N5" t="s">
        <v>128</v>
      </c>
      <c r="O5" s="154">
        <f>L5/O4</f>
        <v>5.6293091213618987E-2</v>
      </c>
    </row>
    <row r="6" spans="1:15">
      <c r="A6" s="157"/>
      <c r="B6" s="187">
        <v>2006</v>
      </c>
      <c r="C6" s="157">
        <v>2007</v>
      </c>
      <c r="D6" s="187">
        <v>2008</v>
      </c>
      <c r="E6" s="157">
        <v>2009</v>
      </c>
      <c r="F6" s="187">
        <v>2010</v>
      </c>
      <c r="G6" s="157">
        <v>2011</v>
      </c>
      <c r="H6" s="187">
        <v>2012</v>
      </c>
      <c r="I6" s="157">
        <v>2013</v>
      </c>
      <c r="J6" s="187">
        <v>2014</v>
      </c>
      <c r="K6" s="157">
        <v>2015</v>
      </c>
      <c r="L6" s="187">
        <v>2016</v>
      </c>
    </row>
    <row r="7" spans="1:15">
      <c r="A7" s="157" t="s">
        <v>120</v>
      </c>
      <c r="B7" s="193">
        <f>B5/1000000</f>
        <v>1082.8580923798149</v>
      </c>
      <c r="C7" s="193">
        <f t="shared" ref="C7:L7" si="0">C5/1000000</f>
        <v>1195.6829679522716</v>
      </c>
      <c r="D7" s="193">
        <f t="shared" si="0"/>
        <v>1244.2732354371888</v>
      </c>
      <c r="E7" s="193">
        <f t="shared" si="0"/>
        <v>1330.369285823253</v>
      </c>
      <c r="F7" s="193">
        <f t="shared" si="0"/>
        <v>1581.733476026584</v>
      </c>
      <c r="G7" s="193">
        <f t="shared" si="0"/>
        <v>1812.0646243063354</v>
      </c>
      <c r="H7" s="193">
        <f t="shared" si="0"/>
        <v>1875.9078335054073</v>
      </c>
      <c r="I7" s="193">
        <f t="shared" si="0"/>
        <v>1997.4890665673399</v>
      </c>
      <c r="J7" s="193">
        <f t="shared" si="0"/>
        <v>2084.3173657082061</v>
      </c>
      <c r="K7" s="193">
        <f t="shared" si="0"/>
        <v>2203.4591570393522</v>
      </c>
      <c r="L7" s="193">
        <f t="shared" si="0"/>
        <v>2366.5818989999998</v>
      </c>
    </row>
    <row r="8" spans="1:15">
      <c r="B8" s="185"/>
    </row>
    <row r="16" spans="1:15">
      <c r="A16" s="105"/>
      <c r="B16" t="s">
        <v>103</v>
      </c>
      <c r="J16" t="s">
        <v>126</v>
      </c>
    </row>
    <row r="17" spans="1:10">
      <c r="A17" s="69" t="s">
        <v>3</v>
      </c>
      <c r="B17" s="150">
        <v>988828530</v>
      </c>
      <c r="C17" s="150" t="s">
        <v>3</v>
      </c>
      <c r="D17" s="155">
        <f>B17</f>
        <v>988828530</v>
      </c>
      <c r="E17" s="156" t="s">
        <v>123</v>
      </c>
      <c r="F17" s="157">
        <v>4468590</v>
      </c>
      <c r="G17" s="158">
        <f t="shared" ref="G17:G27" si="1">F17/$F$28</f>
        <v>1.8882042501416089E-3</v>
      </c>
      <c r="I17" s="150" t="s">
        <v>123</v>
      </c>
      <c r="J17" s="151">
        <v>1.8882042501416089E-3</v>
      </c>
    </row>
    <row r="18" spans="1:10">
      <c r="A18" s="69" t="s">
        <v>6</v>
      </c>
      <c r="B18" s="150">
        <v>51417092</v>
      </c>
      <c r="C18" s="150" t="s">
        <v>6</v>
      </c>
      <c r="D18" s="155">
        <f>B18</f>
        <v>51417092</v>
      </c>
      <c r="E18" s="156" t="s">
        <v>70</v>
      </c>
      <c r="F18" s="157">
        <v>19984182</v>
      </c>
      <c r="G18" s="158">
        <f t="shared" si="1"/>
        <v>8.4443230164332455E-3</v>
      </c>
      <c r="I18" s="150" t="s">
        <v>70</v>
      </c>
      <c r="J18" s="151">
        <v>8.4443230164332455E-3</v>
      </c>
    </row>
    <row r="19" spans="1:10">
      <c r="A19" s="69" t="s">
        <v>4</v>
      </c>
      <c r="B19" s="150">
        <v>377896067</v>
      </c>
      <c r="C19" s="150" t="s">
        <v>122</v>
      </c>
      <c r="D19" s="155">
        <f>B19+B20</f>
        <v>418751824</v>
      </c>
      <c r="E19" s="156" t="s">
        <v>7</v>
      </c>
      <c r="F19" s="157">
        <v>38487829</v>
      </c>
      <c r="G19" s="158">
        <f t="shared" si="1"/>
        <v>1.6263045456513907E-2</v>
      </c>
      <c r="I19" s="150" t="s">
        <v>7</v>
      </c>
      <c r="J19" s="151">
        <v>1.6263045456513907E-2</v>
      </c>
    </row>
    <row r="20" spans="1:10" ht="24">
      <c r="A20" s="69" t="s">
        <v>9</v>
      </c>
      <c r="B20" s="150">
        <v>40855757</v>
      </c>
      <c r="C20" s="150"/>
      <c r="D20" s="155"/>
      <c r="E20" s="156" t="s">
        <v>6</v>
      </c>
      <c r="F20" s="157">
        <v>51417092</v>
      </c>
      <c r="G20" s="158">
        <f t="shared" si="1"/>
        <v>2.1726310009269618E-2</v>
      </c>
      <c r="I20" s="150" t="s">
        <v>6</v>
      </c>
      <c r="J20" s="151">
        <v>2.1726310009269618E-2</v>
      </c>
    </row>
    <row r="21" spans="1:10" ht="24">
      <c r="A21" s="69" t="s">
        <v>70</v>
      </c>
      <c r="B21" s="150">
        <v>19984182</v>
      </c>
      <c r="C21" s="150" t="s">
        <v>70</v>
      </c>
      <c r="D21" s="155">
        <f>B21</f>
        <v>19984182</v>
      </c>
      <c r="E21" s="156" t="s">
        <v>124</v>
      </c>
      <c r="F21" s="157">
        <v>61418513</v>
      </c>
      <c r="G21" s="158">
        <f t="shared" si="1"/>
        <v>2.5952413912213396E-2</v>
      </c>
      <c r="I21" s="150" t="s">
        <v>124</v>
      </c>
      <c r="J21" s="151">
        <v>2.5952413912213396E-2</v>
      </c>
    </row>
    <row r="22" spans="1:10">
      <c r="A22" s="69" t="s">
        <v>8</v>
      </c>
      <c r="B22" s="150">
        <v>168508675</v>
      </c>
      <c r="C22" s="150" t="s">
        <v>8</v>
      </c>
      <c r="D22" s="155">
        <f>B22</f>
        <v>168508675</v>
      </c>
      <c r="E22" s="156" t="s">
        <v>1</v>
      </c>
      <c r="F22" s="157">
        <v>63594515</v>
      </c>
      <c r="G22" s="158">
        <f t="shared" si="1"/>
        <v>2.6871884309971221E-2</v>
      </c>
      <c r="I22" s="150" t="s">
        <v>1</v>
      </c>
      <c r="J22" s="151">
        <v>2.6871884309971221E-2</v>
      </c>
    </row>
    <row r="23" spans="1:10">
      <c r="A23" s="69" t="s">
        <v>2</v>
      </c>
      <c r="B23" s="150">
        <v>295313356</v>
      </c>
      <c r="C23" s="150" t="s">
        <v>2</v>
      </c>
      <c r="D23" s="155">
        <f>B23</f>
        <v>295313356</v>
      </c>
      <c r="E23" s="156" t="s">
        <v>8</v>
      </c>
      <c r="F23" s="157">
        <v>168508675</v>
      </c>
      <c r="G23" s="158">
        <f t="shared" si="1"/>
        <v>7.1203398906753826E-2</v>
      </c>
      <c r="I23" s="150" t="s">
        <v>8</v>
      </c>
      <c r="J23" s="151">
        <v>7.1203398906753826E-2</v>
      </c>
    </row>
    <row r="24" spans="1:10">
      <c r="A24" s="69" t="s">
        <v>18</v>
      </c>
      <c r="B24" s="150"/>
      <c r="C24" s="150" t="s">
        <v>123</v>
      </c>
      <c r="D24" s="155">
        <f>B25+B26</f>
        <v>4468590</v>
      </c>
      <c r="E24" s="156" t="s">
        <v>125</v>
      </c>
      <c r="F24" s="157">
        <v>255808793</v>
      </c>
      <c r="G24" s="158">
        <f t="shared" si="1"/>
        <v>0.10809209396391145</v>
      </c>
      <c r="I24" s="150" t="s">
        <v>125</v>
      </c>
      <c r="J24" s="151">
        <v>0.10809209396391145</v>
      </c>
    </row>
    <row r="25" spans="1:10" ht="24">
      <c r="A25" s="69" t="s">
        <v>29</v>
      </c>
      <c r="B25" s="150">
        <v>3097219</v>
      </c>
      <c r="C25" s="150"/>
      <c r="D25" s="155"/>
      <c r="E25" s="156" t="s">
        <v>2</v>
      </c>
      <c r="F25" s="157">
        <v>295313356</v>
      </c>
      <c r="G25" s="158">
        <f t="shared" si="1"/>
        <v>0.12478476072380371</v>
      </c>
      <c r="I25" s="150" t="s">
        <v>2</v>
      </c>
      <c r="J25" s="151">
        <v>0.12478476072380371</v>
      </c>
    </row>
    <row r="26" spans="1:10">
      <c r="A26" s="69" t="s">
        <v>30</v>
      </c>
      <c r="B26" s="150">
        <v>1371371</v>
      </c>
      <c r="C26" s="150"/>
      <c r="D26" s="155"/>
      <c r="E26" s="156" t="s">
        <v>122</v>
      </c>
      <c r="F26" s="157">
        <v>418751824</v>
      </c>
      <c r="G26" s="158">
        <f t="shared" si="1"/>
        <v>0.17694372807336342</v>
      </c>
      <c r="I26" s="150" t="s">
        <v>122</v>
      </c>
      <c r="J26" s="151">
        <v>0.17694372807336342</v>
      </c>
    </row>
    <row r="27" spans="1:10">
      <c r="A27" s="69" t="s">
        <v>5</v>
      </c>
      <c r="B27" s="150">
        <v>174697634</v>
      </c>
      <c r="C27" s="150" t="s">
        <v>125</v>
      </c>
      <c r="D27" s="155">
        <f>B27+B28</f>
        <v>255808793</v>
      </c>
      <c r="E27" s="156" t="s">
        <v>3</v>
      </c>
      <c r="F27" s="157">
        <v>988828530</v>
      </c>
      <c r="G27" s="158">
        <f t="shared" si="1"/>
        <v>0.41782983737762458</v>
      </c>
      <c r="I27" s="150" t="s">
        <v>3</v>
      </c>
      <c r="J27" s="151">
        <v>0.41782983737762458</v>
      </c>
    </row>
    <row r="28" spans="1:10" ht="36">
      <c r="A28" s="69" t="s">
        <v>10</v>
      </c>
      <c r="B28" s="150">
        <v>81111159</v>
      </c>
      <c r="C28" s="150"/>
      <c r="D28" s="155"/>
      <c r="E28" s="157" t="s">
        <v>11</v>
      </c>
      <c r="F28" s="156">
        <v>2366581899</v>
      </c>
      <c r="G28" s="158">
        <f t="shared" ref="G28" si="2">F28/$F$28</f>
        <v>1</v>
      </c>
      <c r="I28" t="s">
        <v>11</v>
      </c>
      <c r="J28" s="151">
        <v>1</v>
      </c>
    </row>
    <row r="29" spans="1:10">
      <c r="A29" s="69" t="s">
        <v>1</v>
      </c>
      <c r="B29" s="150">
        <v>63594515</v>
      </c>
      <c r="C29" s="150" t="s">
        <v>1</v>
      </c>
      <c r="D29" s="155">
        <f>B29</f>
        <v>63594515</v>
      </c>
      <c r="E29" s="150"/>
    </row>
    <row r="30" spans="1:10">
      <c r="A30" s="69" t="s">
        <v>14</v>
      </c>
      <c r="B30" s="150"/>
      <c r="C30" s="150"/>
      <c r="D30" s="155"/>
      <c r="E30" s="150"/>
    </row>
    <row r="31" spans="1:10">
      <c r="A31" s="69" t="s">
        <v>7</v>
      </c>
      <c r="B31" s="150">
        <v>38487829</v>
      </c>
      <c r="C31" s="150" t="s">
        <v>7</v>
      </c>
      <c r="D31" s="155">
        <f>B31</f>
        <v>38487829</v>
      </c>
      <c r="E31" s="150"/>
    </row>
    <row r="32" spans="1:10" ht="24">
      <c r="A32" s="69" t="s">
        <v>13</v>
      </c>
      <c r="B32" s="150"/>
      <c r="C32" s="150"/>
      <c r="D32" s="155"/>
      <c r="E32" s="150"/>
    </row>
    <row r="33" spans="1:14">
      <c r="A33" s="69" t="s">
        <v>0</v>
      </c>
      <c r="B33" s="150">
        <v>55199462</v>
      </c>
      <c r="C33" s="150" t="s">
        <v>124</v>
      </c>
      <c r="D33" s="155">
        <f>B33+B34</f>
        <v>61418513</v>
      </c>
      <c r="E33" s="150"/>
    </row>
    <row r="34" spans="1:14" ht="60">
      <c r="A34" s="69" t="s">
        <v>12</v>
      </c>
      <c r="B34" s="150">
        <v>6219051</v>
      </c>
      <c r="C34" s="70" t="s">
        <v>11</v>
      </c>
      <c r="D34" s="150">
        <v>2366581899</v>
      </c>
    </row>
    <row r="35" spans="1:14">
      <c r="A35" s="70" t="s">
        <v>11</v>
      </c>
      <c r="B35" s="150">
        <v>2366581899</v>
      </c>
      <c r="C35" s="150"/>
      <c r="D35" s="153"/>
    </row>
    <row r="38" spans="1:14">
      <c r="A38" s="105" t="s">
        <v>96</v>
      </c>
      <c r="B38" t="s">
        <v>15</v>
      </c>
      <c r="C38" t="s">
        <v>16</v>
      </c>
      <c r="D38" t="s">
        <v>54</v>
      </c>
      <c r="F38" t="s">
        <v>96</v>
      </c>
      <c r="G38" t="s">
        <v>15</v>
      </c>
      <c r="I38" t="s">
        <v>16</v>
      </c>
      <c r="K38" t="s">
        <v>54</v>
      </c>
    </row>
    <row r="39" spans="1:14">
      <c r="A39" s="73" t="s">
        <v>3</v>
      </c>
      <c r="B39" s="195">
        <v>456232216.12837839</v>
      </c>
      <c r="C39" s="196">
        <v>686309912.8303057</v>
      </c>
      <c r="D39" s="196">
        <v>904061765.60271132</v>
      </c>
      <c r="F39" t="s">
        <v>3</v>
      </c>
      <c r="G39" s="153">
        <f>456232216.128378/G50</f>
        <v>0.42132225758751918</v>
      </c>
      <c r="H39" t="s">
        <v>3</v>
      </c>
      <c r="I39" s="194">
        <v>0.4338973178682165</v>
      </c>
      <c r="J39" t="s">
        <v>3</v>
      </c>
      <c r="K39" s="194">
        <v>0.41029204590179086</v>
      </c>
      <c r="M39" s="153"/>
      <c r="N39" s="153"/>
    </row>
    <row r="40" spans="1:14">
      <c r="A40" s="73" t="s">
        <v>6</v>
      </c>
      <c r="B40" s="195">
        <v>42248517.005295835</v>
      </c>
      <c r="C40" s="196">
        <v>48579262.470536113</v>
      </c>
      <c r="D40" s="196">
        <v>49347018.002259463</v>
      </c>
      <c r="F40" t="s">
        <v>2</v>
      </c>
      <c r="G40" s="153">
        <f>122923590.210201/G50</f>
        <v>0.11351772783084607</v>
      </c>
      <c r="H40" t="s">
        <v>2</v>
      </c>
      <c r="I40" s="194">
        <v>0.12282107740824408</v>
      </c>
      <c r="J40" t="s">
        <v>2</v>
      </c>
      <c r="K40" s="194">
        <v>0.12028071162260114</v>
      </c>
      <c r="M40" s="153"/>
      <c r="N40" s="153"/>
    </row>
    <row r="41" spans="1:14">
      <c r="A41" s="69" t="s">
        <v>4</v>
      </c>
      <c r="B41" s="185">
        <v>173650025.22193816</v>
      </c>
      <c r="C41" s="47">
        <v>234555993.14975631</v>
      </c>
      <c r="D41" s="47">
        <v>352720270.2074939</v>
      </c>
      <c r="F41" t="s">
        <v>8</v>
      </c>
      <c r="G41" s="153">
        <f>110708947.164806/G50</f>
        <v>0.1022377243554593</v>
      </c>
      <c r="H41" t="s">
        <v>8</v>
      </c>
      <c r="I41" s="194">
        <v>7.890474350510622E-2</v>
      </c>
      <c r="J41" t="s">
        <v>8</v>
      </c>
      <c r="K41" s="194">
        <v>6.871146989586642E-2</v>
      </c>
      <c r="M41" s="153"/>
      <c r="N41" s="153"/>
    </row>
    <row r="42" spans="1:14" ht="24">
      <c r="A42" s="69" t="s">
        <v>9</v>
      </c>
      <c r="B42" s="185">
        <v>1767370.5463873916</v>
      </c>
      <c r="C42" s="47">
        <v>7005447.5972529911</v>
      </c>
      <c r="D42" s="47">
        <v>39686406.05648654</v>
      </c>
      <c r="F42" t="s">
        <v>6</v>
      </c>
      <c r="G42" s="153">
        <f>42248517.0052958/G50</f>
        <v>3.9015746663947019E-2</v>
      </c>
      <c r="H42" t="s">
        <v>6</v>
      </c>
      <c r="I42" s="194">
        <v>3.0712672651128519E-2</v>
      </c>
      <c r="J42" t="s">
        <v>6</v>
      </c>
      <c r="K42" s="194">
        <v>2.2395249689385624E-2</v>
      </c>
      <c r="M42" s="153"/>
      <c r="N42" s="153"/>
    </row>
    <row r="43" spans="1:14">
      <c r="A43" s="197" t="s">
        <v>133</v>
      </c>
      <c r="B43" s="195">
        <f>B42+B41</f>
        <v>175417395.76832557</v>
      </c>
      <c r="C43" s="195">
        <f t="shared" ref="C43:D43" si="3">C42+C41</f>
        <v>241561440.74700931</v>
      </c>
      <c r="D43" s="195">
        <f t="shared" si="3"/>
        <v>392406676.26398045</v>
      </c>
      <c r="F43" t="s">
        <v>7</v>
      </c>
      <c r="G43" s="153">
        <f>12901651.1724573/G50</f>
        <v>1.1914443141947742E-2</v>
      </c>
      <c r="H43" t="s">
        <v>7</v>
      </c>
      <c r="I43" s="194">
        <v>1.7089856746892122E-2</v>
      </c>
      <c r="J43" t="s">
        <v>7</v>
      </c>
      <c r="K43" s="194">
        <v>1.6109828200776583E-2</v>
      </c>
      <c r="M43" s="153"/>
      <c r="N43" s="153"/>
    </row>
    <row r="44" spans="1:14" ht="24">
      <c r="A44" s="73" t="s">
        <v>70</v>
      </c>
      <c r="B44" s="195">
        <v>9907740.2457394395</v>
      </c>
      <c r="C44" s="196">
        <v>29172290.462560922</v>
      </c>
      <c r="D44" s="196">
        <v>32522143.162116364</v>
      </c>
      <c r="F44" t="s">
        <v>133</v>
      </c>
      <c r="G44" s="153">
        <f>175417395.768326/G50</f>
        <v>0.16199481446623198</v>
      </c>
      <c r="H44" t="s">
        <v>133</v>
      </c>
      <c r="I44" s="194">
        <v>0.15271943371510804</v>
      </c>
      <c r="J44" t="s">
        <v>133</v>
      </c>
      <c r="K44" s="194">
        <v>0.1780866575222716</v>
      </c>
      <c r="M44" s="153"/>
      <c r="N44" s="153"/>
    </row>
    <row r="45" spans="1:14">
      <c r="A45" s="73" t="s">
        <v>8</v>
      </c>
      <c r="B45" s="195">
        <v>110708947.16480622</v>
      </c>
      <c r="C45" s="196">
        <v>124806274.21931769</v>
      </c>
      <c r="D45" s="196">
        <v>151402917.53568065</v>
      </c>
      <c r="F45" t="s">
        <v>70</v>
      </c>
      <c r="G45" s="153">
        <f>9907740.24573944/G50</f>
        <v>9.1496201722656365E-3</v>
      </c>
      <c r="H45" t="s">
        <v>70</v>
      </c>
      <c r="I45" s="194">
        <v>1.8443240220118239E-2</v>
      </c>
      <c r="J45" t="s">
        <v>70</v>
      </c>
      <c r="K45" s="194">
        <v>1.4759585199579688E-2</v>
      </c>
      <c r="M45" s="153"/>
      <c r="N45" s="153"/>
    </row>
    <row r="46" spans="1:14">
      <c r="A46" s="73" t="s">
        <v>2</v>
      </c>
      <c r="B46" s="195">
        <v>122923590.21020055</v>
      </c>
      <c r="C46" s="196">
        <v>194270209.69827205</v>
      </c>
      <c r="D46" s="196">
        <v>265033635.44003013</v>
      </c>
      <c r="F46" t="s">
        <v>5</v>
      </c>
      <c r="G46" s="153">
        <f>115654134.208467/G50</f>
        <v>0.10680451577389244</v>
      </c>
      <c r="H46" t="s">
        <v>5</v>
      </c>
      <c r="I46" s="194">
        <v>0.10430189090103602</v>
      </c>
      <c r="J46" t="s">
        <v>5</v>
      </c>
      <c r="K46" s="194">
        <v>0.11086181667084692</v>
      </c>
      <c r="M46" s="153"/>
      <c r="N46" s="153"/>
    </row>
    <row r="47" spans="1:14">
      <c r="A47" s="69" t="s">
        <v>18</v>
      </c>
      <c r="B47" s="185"/>
      <c r="C47" s="47"/>
      <c r="D47" s="47"/>
      <c r="F47" t="s">
        <v>135</v>
      </c>
      <c r="G47" s="153">
        <f>19099687.9852699/G50</f>
        <v>1.7638218820800616E-2</v>
      </c>
      <c r="H47" t="s">
        <v>135</v>
      </c>
      <c r="I47" s="194">
        <v>2.4261543453978688E-2</v>
      </c>
      <c r="J47" t="s">
        <v>135</v>
      </c>
      <c r="K47" s="194">
        <v>2.9254992890133797E-2</v>
      </c>
      <c r="M47" s="153"/>
      <c r="N47" s="153"/>
    </row>
    <row r="48" spans="1:14" ht="24">
      <c r="A48" s="69" t="s">
        <v>29</v>
      </c>
      <c r="B48" s="185"/>
      <c r="C48" s="47"/>
      <c r="D48" s="47">
        <v>3192726.7407267937</v>
      </c>
      <c r="F48" t="s">
        <v>134</v>
      </c>
      <c r="G48" s="153">
        <f>0/G50</f>
        <v>0</v>
      </c>
      <c r="H48" t="s">
        <v>134</v>
      </c>
      <c r="I48" s="194">
        <v>0</v>
      </c>
      <c r="J48" t="s">
        <v>134</v>
      </c>
      <c r="K48" s="194">
        <v>2.8304637874649696E-3</v>
      </c>
      <c r="M48" s="153"/>
      <c r="N48" s="153"/>
    </row>
    <row r="49" spans="1:14">
      <c r="A49" s="69" t="s">
        <v>30</v>
      </c>
      <c r="B49" s="185"/>
      <c r="C49" s="47"/>
      <c r="D49" s="47">
        <v>3044084.6104311808</v>
      </c>
      <c r="F49" t="s">
        <v>136</v>
      </c>
      <c r="G49" s="153">
        <f>17764212.4908747/G50</f>
        <v>1.6404931187090268E-2</v>
      </c>
      <c r="H49" t="s">
        <v>136</v>
      </c>
      <c r="I49" s="194">
        <v>1.6848223530171607E-2</v>
      </c>
      <c r="J49" t="s">
        <v>136</v>
      </c>
      <c r="K49" s="194">
        <v>2.6417178619282361E-2</v>
      </c>
      <c r="M49" s="153"/>
      <c r="N49" s="153"/>
    </row>
    <row r="50" spans="1:14">
      <c r="A50" s="197" t="s">
        <v>134</v>
      </c>
      <c r="B50" s="195">
        <f>B47+B48+B49</f>
        <v>0</v>
      </c>
      <c r="C50" s="195">
        <f t="shared" ref="C50:D50" si="4">C47+C48+C49</f>
        <v>0</v>
      </c>
      <c r="D50" s="195">
        <f t="shared" si="4"/>
        <v>6236811.3511579745</v>
      </c>
      <c r="F50" t="s">
        <v>11</v>
      </c>
      <c r="G50" s="185">
        <v>1082858092.3798149</v>
      </c>
      <c r="H50" t="s">
        <v>11</v>
      </c>
      <c r="I50" s="47">
        <v>1581733476.0265839</v>
      </c>
      <c r="J50" t="s">
        <v>11</v>
      </c>
      <c r="K50" s="47">
        <v>2203459157.0393524</v>
      </c>
    </row>
    <row r="51" spans="1:14">
      <c r="A51" s="69" t="s">
        <v>5</v>
      </c>
      <c r="B51" s="185">
        <v>85325796.106765047</v>
      </c>
      <c r="C51" s="47">
        <v>110269083.27868854</v>
      </c>
      <c r="D51" s="47">
        <v>164911503.90962154</v>
      </c>
    </row>
    <row r="52" spans="1:14" ht="36">
      <c r="A52" s="69" t="s">
        <v>10</v>
      </c>
      <c r="B52" s="185">
        <v>30328338.101701878</v>
      </c>
      <c r="C52" s="47">
        <v>54708709.172352679</v>
      </c>
      <c r="D52" s="47">
        <v>79367981.199774057</v>
      </c>
    </row>
    <row r="53" spans="1:14">
      <c r="A53" s="197" t="s">
        <v>5</v>
      </c>
      <c r="B53" s="195">
        <f>B51+B52</f>
        <v>115654134.20846692</v>
      </c>
      <c r="C53" s="195">
        <f t="shared" ref="C53:D53" si="5">C51+C52</f>
        <v>164977792.45104122</v>
      </c>
      <c r="D53" s="195">
        <f t="shared" si="5"/>
        <v>244279485.10939559</v>
      </c>
    </row>
    <row r="54" spans="1:14">
      <c r="A54" s="69" t="s">
        <v>1</v>
      </c>
      <c r="B54" s="198"/>
      <c r="C54" s="199"/>
      <c r="D54" s="199">
        <v>64462181.972886465</v>
      </c>
    </row>
    <row r="55" spans="1:14">
      <c r="A55" s="69" t="s">
        <v>14</v>
      </c>
      <c r="B55" s="185">
        <v>19099687.985269874</v>
      </c>
      <c r="C55" s="47">
        <v>38375295.461231723</v>
      </c>
      <c r="D55" s="47"/>
    </row>
    <row r="56" spans="1:14">
      <c r="A56" s="197" t="s">
        <v>135</v>
      </c>
      <c r="B56" s="195">
        <f>B55+B54</f>
        <v>19099687.985269874</v>
      </c>
      <c r="C56" s="195">
        <f t="shared" ref="C56:D56" si="6">C55+C54</f>
        <v>38375295.461231723</v>
      </c>
      <c r="D56" s="195">
        <f t="shared" si="6"/>
        <v>64462181.972886465</v>
      </c>
    </row>
    <row r="57" spans="1:14">
      <c r="A57" s="73" t="s">
        <v>7</v>
      </c>
      <c r="B57" s="195">
        <v>12901651.172457295</v>
      </c>
      <c r="C57" s="196">
        <v>27031598.517058041</v>
      </c>
      <c r="D57" s="196">
        <v>35497348.467331953</v>
      </c>
    </row>
    <row r="58" spans="1:14" ht="24">
      <c r="A58" s="69" t="s">
        <v>13</v>
      </c>
      <c r="B58" s="185">
        <v>17764212.490874708</v>
      </c>
      <c r="C58" s="47">
        <v>26649399.169251218</v>
      </c>
      <c r="D58" s="47"/>
    </row>
    <row r="59" spans="1:14">
      <c r="A59" s="69" t="s">
        <v>0</v>
      </c>
      <c r="B59" s="185"/>
      <c r="C59" s="47"/>
      <c r="D59" s="47">
        <v>52145454.297119185</v>
      </c>
    </row>
    <row r="60" spans="1:14" ht="60">
      <c r="A60" s="69" t="s">
        <v>12</v>
      </c>
      <c r="B60" s="185"/>
      <c r="C60" s="47"/>
      <c r="D60" s="47">
        <v>6063719.8346827338</v>
      </c>
    </row>
    <row r="61" spans="1:14">
      <c r="A61" s="197" t="s">
        <v>136</v>
      </c>
      <c r="B61" s="195">
        <f>B58+B59+B60</f>
        <v>17764212.490874708</v>
      </c>
      <c r="C61" s="195">
        <f t="shared" ref="C61:D61" si="7">C58+C59+C60</f>
        <v>26649399.169251218</v>
      </c>
      <c r="D61" s="195">
        <f t="shared" si="7"/>
        <v>58209174.131801918</v>
      </c>
    </row>
    <row r="62" spans="1:14">
      <c r="A62" s="70" t="s">
        <v>11</v>
      </c>
      <c r="B62" s="185">
        <v>1082858092.3798149</v>
      </c>
      <c r="C62" s="47">
        <v>1581733476.0265839</v>
      </c>
      <c r="D62" s="47">
        <v>2203459157.0393524</v>
      </c>
    </row>
    <row r="66" spans="1:2">
      <c r="B66" s="152">
        <v>2016</v>
      </c>
    </row>
    <row r="67" spans="1:2">
      <c r="A67" s="159" t="s">
        <v>3</v>
      </c>
      <c r="B67" s="194">
        <v>0.41782983737762458</v>
      </c>
    </row>
    <row r="68" spans="1:2">
      <c r="A68" s="159" t="s">
        <v>2</v>
      </c>
      <c r="B68" s="194">
        <v>0.12478476072380371</v>
      </c>
    </row>
    <row r="69" spans="1:2">
      <c r="A69" s="159" t="s">
        <v>8</v>
      </c>
      <c r="B69" s="194">
        <v>7.1203398906753826E-2</v>
      </c>
    </row>
    <row r="70" spans="1:2">
      <c r="A70" s="159" t="s">
        <v>6</v>
      </c>
      <c r="B70" s="194">
        <v>2.1726310009269618E-2</v>
      </c>
    </row>
    <row r="71" spans="1:2">
      <c r="A71" s="159" t="s">
        <v>7</v>
      </c>
      <c r="B71" s="194">
        <v>1.6263045456513907E-2</v>
      </c>
    </row>
    <row r="72" spans="1:2" ht="30">
      <c r="A72" s="159" t="s">
        <v>146</v>
      </c>
      <c r="B72" s="194">
        <v>0.17694372807336342</v>
      </c>
    </row>
    <row r="73" spans="1:2" ht="45">
      <c r="A73" s="159" t="s">
        <v>70</v>
      </c>
      <c r="B73" s="194">
        <v>8.4443230164332455E-3</v>
      </c>
    </row>
    <row r="74" spans="1:2" ht="30">
      <c r="A74" s="159" t="s">
        <v>125</v>
      </c>
      <c r="B74" s="194">
        <v>0.10809209396391145</v>
      </c>
    </row>
    <row r="75" spans="1:2">
      <c r="A75" s="159" t="s">
        <v>1</v>
      </c>
      <c r="B75" s="194">
        <v>2.6871884309971221E-2</v>
      </c>
    </row>
    <row r="76" spans="1:2" ht="45">
      <c r="A76" s="159" t="s">
        <v>123</v>
      </c>
      <c r="B76" s="194">
        <v>1.8882042501416089E-3</v>
      </c>
    </row>
    <row r="77" spans="1:2" ht="30">
      <c r="A77" s="159" t="s">
        <v>124</v>
      </c>
      <c r="B77" s="194">
        <v>2.5952413912213396E-2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4:O52"/>
  <sheetViews>
    <sheetView topLeftCell="A55" workbookViewId="0">
      <selection activeCell="A28" sqref="A28:XFD28"/>
    </sheetView>
  </sheetViews>
  <sheetFormatPr baseColWidth="10" defaultRowHeight="15"/>
  <cols>
    <col min="1" max="1" width="33.5703125" customWidth="1"/>
    <col min="2" max="2" width="12" bestFit="1" customWidth="1"/>
    <col min="3" max="3" width="13" customWidth="1"/>
    <col min="4" max="7" width="12" bestFit="1" customWidth="1"/>
    <col min="8" max="8" width="13.42578125" customWidth="1"/>
    <col min="9" max="9" width="12.85546875" bestFit="1" customWidth="1"/>
    <col min="10" max="10" width="12" bestFit="1" customWidth="1"/>
    <col min="11" max="11" width="11.5703125" bestFit="1" customWidth="1"/>
    <col min="12" max="12" width="12" bestFit="1" customWidth="1"/>
    <col min="13" max="13" width="11.5703125" bestFit="1" customWidth="1"/>
    <col min="14" max="14" width="16.42578125" customWidth="1"/>
    <col min="15" max="15" width="11.5703125" bestFit="1" customWidth="1"/>
  </cols>
  <sheetData>
    <row r="4" spans="1:15" ht="48.75">
      <c r="A4" s="149" t="s">
        <v>96</v>
      </c>
      <c r="B4" s="160" t="s">
        <v>16</v>
      </c>
      <c r="C4" s="160"/>
      <c r="D4" s="160" t="s">
        <v>21</v>
      </c>
      <c r="E4" s="160"/>
      <c r="F4" s="160" t="s">
        <v>22</v>
      </c>
      <c r="G4" s="160"/>
      <c r="H4" s="160" t="s">
        <v>17</v>
      </c>
      <c r="I4" s="160"/>
      <c r="J4" s="160" t="s">
        <v>28</v>
      </c>
      <c r="K4" s="160"/>
      <c r="L4" s="160" t="s">
        <v>54</v>
      </c>
      <c r="M4" s="201"/>
      <c r="N4" s="165" t="s">
        <v>103</v>
      </c>
    </row>
    <row r="5" spans="1:15">
      <c r="A5" s="69" t="s">
        <v>3</v>
      </c>
      <c r="B5" s="200">
        <v>686309912.8303057</v>
      </c>
      <c r="C5" s="200">
        <f>B5</f>
        <v>686309912.8303057</v>
      </c>
      <c r="D5" s="200">
        <v>823186985.48693132</v>
      </c>
      <c r="E5" s="200"/>
      <c r="F5" s="200">
        <v>859936701.63353586</v>
      </c>
      <c r="G5" s="200"/>
      <c r="H5" s="200">
        <v>884007756.98974931</v>
      </c>
      <c r="I5" s="200"/>
      <c r="J5" s="200">
        <v>895592366.06521523</v>
      </c>
      <c r="K5" s="200"/>
      <c r="L5" s="200">
        <v>904061765.60271132</v>
      </c>
      <c r="M5" s="202"/>
      <c r="N5" s="203">
        <v>988828530</v>
      </c>
    </row>
    <row r="6" spans="1:15">
      <c r="A6" s="69" t="s">
        <v>6</v>
      </c>
      <c r="B6" s="200">
        <v>48579262.470536113</v>
      </c>
      <c r="C6" s="200">
        <f t="shared" ref="C6" si="0">B6</f>
        <v>48579262.470536113</v>
      </c>
      <c r="D6" s="200">
        <v>48712758.716575243</v>
      </c>
      <c r="E6" s="200"/>
      <c r="F6" s="200">
        <v>47417108.63611082</v>
      </c>
      <c r="G6" s="200"/>
      <c r="H6" s="200">
        <v>49373724.319496602</v>
      </c>
      <c r="I6" s="200"/>
      <c r="J6" s="200">
        <v>48902911.794700027</v>
      </c>
      <c r="K6" s="200"/>
      <c r="L6" s="200">
        <v>49347018.002259463</v>
      </c>
      <c r="M6" s="202"/>
      <c r="N6" s="203">
        <v>51417092</v>
      </c>
    </row>
    <row r="7" spans="1:15">
      <c r="A7" s="69" t="s">
        <v>4</v>
      </c>
      <c r="B7" s="200">
        <v>234555993.14975631</v>
      </c>
      <c r="C7" s="200"/>
      <c r="D7" s="200">
        <v>279902993.51016456</v>
      </c>
      <c r="E7" s="200"/>
      <c r="F7" s="200">
        <v>293113046.21732414</v>
      </c>
      <c r="G7" s="200"/>
      <c r="H7" s="200">
        <v>308302691.30051762</v>
      </c>
      <c r="I7" s="200"/>
      <c r="J7" s="200">
        <v>325913896.78376514</v>
      </c>
      <c r="K7" s="200"/>
      <c r="L7" s="200">
        <v>352720270.2074939</v>
      </c>
      <c r="M7" s="202"/>
      <c r="N7" s="203">
        <v>377896067</v>
      </c>
    </row>
    <row r="8" spans="1:15" ht="24">
      <c r="A8" s="69" t="s">
        <v>137</v>
      </c>
      <c r="B8" s="200">
        <v>7005447.5972529911</v>
      </c>
      <c r="C8" s="200">
        <f>B8+B7</f>
        <v>241561440.74700931</v>
      </c>
      <c r="D8" s="200">
        <v>8840090.059589114</v>
      </c>
      <c r="E8" s="200">
        <f>D8+D7</f>
        <v>288743083.56975365</v>
      </c>
      <c r="F8" s="200">
        <v>10587064.188278915</v>
      </c>
      <c r="G8" s="200">
        <f>F8+F7</f>
        <v>303700110.40560305</v>
      </c>
      <c r="H8" s="200">
        <v>33718757.2779864</v>
      </c>
      <c r="I8" s="200">
        <f>H8+H7</f>
        <v>342021448.57850403</v>
      </c>
      <c r="J8" s="200">
        <v>40082995.413653821</v>
      </c>
      <c r="K8" s="200">
        <f>J8+J7</f>
        <v>365996892.19741893</v>
      </c>
      <c r="L8" s="200">
        <v>39686406.05648654</v>
      </c>
      <c r="M8" s="200">
        <f>L8+L7</f>
        <v>392406676.26398045</v>
      </c>
      <c r="N8" s="203">
        <v>40855757</v>
      </c>
      <c r="O8" s="200">
        <f>N8+N7</f>
        <v>418751824</v>
      </c>
    </row>
    <row r="9" spans="1:15" ht="24">
      <c r="A9" s="69" t="s">
        <v>70</v>
      </c>
      <c r="B9" s="200">
        <v>29172290.462560922</v>
      </c>
      <c r="C9" s="200">
        <f>B9</f>
        <v>29172290.462560922</v>
      </c>
      <c r="D9" s="200">
        <v>39426812.562762178</v>
      </c>
      <c r="E9" s="200"/>
      <c r="F9" s="200">
        <v>32210651.447934903</v>
      </c>
      <c r="G9" s="200"/>
      <c r="H9" s="200">
        <v>27224524.75672384</v>
      </c>
      <c r="I9" s="200"/>
      <c r="J9" s="200">
        <v>34812778.898630671</v>
      </c>
      <c r="K9" s="200"/>
      <c r="L9" s="200">
        <v>32522143.162116364</v>
      </c>
      <c r="M9" s="202"/>
      <c r="N9" s="203">
        <v>19984182</v>
      </c>
    </row>
    <row r="10" spans="1:15">
      <c r="A10" s="69" t="s">
        <v>64</v>
      </c>
      <c r="B10" s="200">
        <v>124806274.21931769</v>
      </c>
      <c r="C10" s="200">
        <f>B10</f>
        <v>124806274.21931769</v>
      </c>
      <c r="D10" s="200">
        <v>133215093.98386577</v>
      </c>
      <c r="E10" s="200"/>
      <c r="F10" s="200">
        <v>132110514.40230712</v>
      </c>
      <c r="G10" s="200"/>
      <c r="H10" s="200">
        <v>139577687.91637066</v>
      </c>
      <c r="I10" s="200"/>
      <c r="J10" s="200">
        <v>139882418.46438774</v>
      </c>
      <c r="K10" s="200"/>
      <c r="L10" s="200">
        <v>151402917.53568065</v>
      </c>
      <c r="M10" s="202"/>
      <c r="N10" s="203">
        <v>168508675</v>
      </c>
    </row>
    <row r="11" spans="1:15">
      <c r="A11" s="69" t="s">
        <v>2</v>
      </c>
      <c r="B11" s="200">
        <v>194270209.69827205</v>
      </c>
      <c r="C11" s="200">
        <f>B11</f>
        <v>194270209.69827205</v>
      </c>
      <c r="D11" s="200">
        <v>210639418.69592342</v>
      </c>
      <c r="E11" s="200"/>
      <c r="F11" s="200">
        <v>217976113.08229476</v>
      </c>
      <c r="G11" s="200"/>
      <c r="H11" s="200">
        <v>239206420.32436821</v>
      </c>
      <c r="I11" s="200"/>
      <c r="J11" s="200">
        <v>253090973.8705546</v>
      </c>
      <c r="K11" s="200"/>
      <c r="L11" s="200">
        <v>265033635.44003013</v>
      </c>
      <c r="M11" s="202"/>
      <c r="N11" s="203">
        <v>295313356</v>
      </c>
    </row>
    <row r="12" spans="1:15">
      <c r="A12" s="69" t="s">
        <v>18</v>
      </c>
      <c r="B12" s="200"/>
      <c r="C12" s="200"/>
      <c r="D12" s="200"/>
      <c r="E12" s="200"/>
      <c r="F12" s="200"/>
      <c r="G12" s="200"/>
      <c r="H12" s="200">
        <v>762790.01562975743</v>
      </c>
      <c r="I12" s="200"/>
      <c r="J12" s="200">
        <v>3347078.3749384293</v>
      </c>
      <c r="K12" s="200"/>
      <c r="L12" s="200"/>
      <c r="M12" s="202"/>
      <c r="N12" s="203"/>
    </row>
    <row r="13" spans="1:15">
      <c r="A13" s="69" t="s">
        <v>29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L13" s="200">
        <v>3192726.7407267937</v>
      </c>
      <c r="M13" s="202"/>
      <c r="N13" s="203">
        <v>3097219</v>
      </c>
    </row>
    <row r="14" spans="1:15" ht="24">
      <c r="A14" s="69" t="s">
        <v>138</v>
      </c>
      <c r="B14" s="200"/>
      <c r="C14" s="200">
        <f>B12+B13+B14</f>
        <v>0</v>
      </c>
      <c r="D14" s="200"/>
      <c r="E14" s="200">
        <f>D12+D13+D14</f>
        <v>0</v>
      </c>
      <c r="F14" s="200"/>
      <c r="G14" s="200">
        <f>F12+F13+F14</f>
        <v>0</v>
      </c>
      <c r="H14" s="200"/>
      <c r="I14" s="200">
        <f>H12+H13+H14</f>
        <v>762790.01562975743</v>
      </c>
      <c r="J14" s="200"/>
      <c r="K14" s="200">
        <f>J12+J13+J14</f>
        <v>3347078.3749384293</v>
      </c>
      <c r="L14" s="200">
        <v>3044084.6104311808</v>
      </c>
      <c r="M14" s="200">
        <f>L12+L13+L14</f>
        <v>6236811.3511579745</v>
      </c>
      <c r="N14" s="203">
        <v>1371371</v>
      </c>
      <c r="O14" s="200">
        <f>N12+N13+N14</f>
        <v>4468590</v>
      </c>
    </row>
    <row r="15" spans="1:15">
      <c r="A15" s="69" t="s">
        <v>5</v>
      </c>
      <c r="B15" s="200">
        <v>110269083.27868854</v>
      </c>
      <c r="C15" s="200"/>
      <c r="D15" s="200">
        <v>111388213.80187157</v>
      </c>
      <c r="E15" s="200"/>
      <c r="F15" s="200">
        <v>116478902.30672571</v>
      </c>
      <c r="G15" s="200"/>
      <c r="H15" s="200">
        <v>127758313.51019995</v>
      </c>
      <c r="I15" s="200"/>
      <c r="J15" s="200">
        <v>144356448.24470493</v>
      </c>
      <c r="K15" s="200"/>
      <c r="L15" s="200">
        <v>164911503.90962154</v>
      </c>
      <c r="M15" s="202"/>
      <c r="N15" s="203">
        <v>174697634</v>
      </c>
    </row>
    <row r="16" spans="1:15" ht="36">
      <c r="A16" s="69" t="s">
        <v>139</v>
      </c>
      <c r="B16" s="200">
        <v>54708709.172352679</v>
      </c>
      <c r="C16" s="200">
        <f>B15+B16</f>
        <v>164977792.45104122</v>
      </c>
      <c r="D16" s="200">
        <v>60608910.948047757</v>
      </c>
      <c r="E16" s="200">
        <f>D15+D16</f>
        <v>171997124.74991933</v>
      </c>
      <c r="F16" s="200">
        <v>62133925.87702132</v>
      </c>
      <c r="G16" s="200">
        <f>F15+F16</f>
        <v>178612828.18374702</v>
      </c>
      <c r="H16" s="200">
        <v>66478727.080077134</v>
      </c>
      <c r="I16" s="200">
        <f>H15+H16</f>
        <v>194237040.59027708</v>
      </c>
      <c r="J16" s="200">
        <v>69026029.309427634</v>
      </c>
      <c r="K16" s="200">
        <f>J15+J16</f>
        <v>213382477.55413258</v>
      </c>
      <c r="L16" s="200">
        <v>79367981.199774057</v>
      </c>
      <c r="M16" s="200">
        <f>L15+L16</f>
        <v>244279485.10939559</v>
      </c>
      <c r="N16" s="203">
        <v>81111159</v>
      </c>
      <c r="O16" s="200">
        <f>N15+N16</f>
        <v>255808793</v>
      </c>
    </row>
    <row r="17" spans="1:15">
      <c r="A17" s="69" t="s">
        <v>1</v>
      </c>
      <c r="B17" s="200"/>
      <c r="C17" s="200"/>
      <c r="D17" s="200"/>
      <c r="E17" s="200"/>
      <c r="F17" s="200">
        <v>41959538.003913894</v>
      </c>
      <c r="G17" s="200"/>
      <c r="H17" s="200">
        <v>52525843.950471938</v>
      </c>
      <c r="I17" s="200"/>
      <c r="J17" s="200">
        <v>59545418.159787208</v>
      </c>
      <c r="K17" s="200"/>
      <c r="L17" s="200">
        <v>64462181.972886465</v>
      </c>
      <c r="M17" s="202"/>
      <c r="N17" s="203">
        <v>63594515</v>
      </c>
    </row>
    <row r="18" spans="1:15">
      <c r="A18" s="69" t="s">
        <v>140</v>
      </c>
      <c r="B18" s="200">
        <v>38375295.461231723</v>
      </c>
      <c r="C18" s="200">
        <f>B17+B18</f>
        <v>38375295.461231723</v>
      </c>
      <c r="D18" s="200">
        <v>39440127.697536841</v>
      </c>
      <c r="E18" s="200">
        <f>D17+D18</f>
        <v>39440127.697536841</v>
      </c>
      <c r="F18" s="200"/>
      <c r="G18" s="200">
        <f>F17+F18</f>
        <v>41959538.003913894</v>
      </c>
      <c r="H18" s="200"/>
      <c r="I18" s="200">
        <f>H17+H18</f>
        <v>52525843.950471938</v>
      </c>
      <c r="J18" s="200"/>
      <c r="K18" s="200">
        <f>J17+J18</f>
        <v>59545418.159787208</v>
      </c>
      <c r="L18" s="200"/>
      <c r="M18" s="200">
        <f>L17+L18</f>
        <v>64462181.972886465</v>
      </c>
      <c r="N18" s="203"/>
      <c r="O18" s="200">
        <f>N17+N18</f>
        <v>63594515</v>
      </c>
    </row>
    <row r="19" spans="1:15">
      <c r="A19" s="69" t="s">
        <v>7</v>
      </c>
      <c r="B19" s="200">
        <v>27031598.517058041</v>
      </c>
      <c r="C19" s="200">
        <f>B19</f>
        <v>27031598.517058041</v>
      </c>
      <c r="D19" s="200">
        <v>27221821.535979349</v>
      </c>
      <c r="E19" s="200"/>
      <c r="F19" s="200">
        <v>27940263.538984448</v>
      </c>
      <c r="G19" s="200"/>
      <c r="H19" s="200">
        <v>30815106.069217499</v>
      </c>
      <c r="I19" s="200"/>
      <c r="J19" s="200">
        <v>31675336.322726823</v>
      </c>
      <c r="K19" s="200"/>
      <c r="L19" s="200">
        <v>35497348.467331953</v>
      </c>
      <c r="M19" s="202"/>
      <c r="N19" s="203">
        <v>38487829</v>
      </c>
    </row>
    <row r="20" spans="1:15">
      <c r="A20" s="69" t="s">
        <v>13</v>
      </c>
      <c r="B20" s="200">
        <v>26649399.169251218</v>
      </c>
      <c r="C20" s="200"/>
      <c r="D20" s="200">
        <v>29481397.307088308</v>
      </c>
      <c r="E20" s="200"/>
      <c r="F20" s="200"/>
      <c r="G20" s="200"/>
      <c r="H20" s="200"/>
      <c r="I20" s="200"/>
      <c r="J20" s="200"/>
      <c r="K20" s="200"/>
      <c r="L20" s="200"/>
      <c r="M20" s="202"/>
      <c r="N20" s="203"/>
    </row>
    <row r="21" spans="1:15">
      <c r="A21" s="69" t="s">
        <v>0</v>
      </c>
      <c r="B21" s="200"/>
      <c r="C21" s="200"/>
      <c r="D21" s="200"/>
      <c r="E21" s="200"/>
      <c r="F21" s="200">
        <v>34044004.17097538</v>
      </c>
      <c r="G21" s="200"/>
      <c r="H21" s="200">
        <v>37736723.056531005</v>
      </c>
      <c r="I21" s="200"/>
      <c r="J21" s="200">
        <v>32026096.10087676</v>
      </c>
      <c r="K21" s="200"/>
      <c r="L21" s="200">
        <v>52145454.297119185</v>
      </c>
      <c r="M21" s="202"/>
      <c r="N21" s="203">
        <v>55199462</v>
      </c>
    </row>
    <row r="22" spans="1:15" ht="48">
      <c r="A22" s="69" t="s">
        <v>141</v>
      </c>
      <c r="B22" s="200"/>
      <c r="C22" s="200">
        <f>B20+B21+B22</f>
        <v>26649399.169251218</v>
      </c>
      <c r="D22" s="200"/>
      <c r="E22" s="200">
        <f>D20+D21+D22</f>
        <v>29481397.307088308</v>
      </c>
      <c r="F22" s="200"/>
      <c r="G22" s="200">
        <f>F20+F21+F22</f>
        <v>34044004.17097538</v>
      </c>
      <c r="H22" s="200"/>
      <c r="I22" s="200">
        <f>H20+H21+H22</f>
        <v>37736723.056531005</v>
      </c>
      <c r="J22" s="200">
        <v>6062617.9048369611</v>
      </c>
      <c r="K22" s="200">
        <f>J20+J21+J22</f>
        <v>38088714.005713724</v>
      </c>
      <c r="L22" s="200">
        <v>6063719.8346827338</v>
      </c>
      <c r="M22" s="200">
        <f>L20+L21+L22</f>
        <v>58209174.131801918</v>
      </c>
      <c r="N22" s="203">
        <v>6219051</v>
      </c>
      <c r="O22" s="200">
        <f>N20+N21+N22</f>
        <v>61418513</v>
      </c>
    </row>
    <row r="23" spans="1:15">
      <c r="A23" s="73" t="s">
        <v>11</v>
      </c>
      <c r="B23" s="200">
        <v>1581733476.0265839</v>
      </c>
      <c r="C23" s="200"/>
      <c r="D23" s="200">
        <v>1812064624.3063354</v>
      </c>
      <c r="E23" s="200"/>
      <c r="F23" s="200">
        <v>1875907833.5054073</v>
      </c>
      <c r="G23" s="200"/>
      <c r="H23" s="200">
        <v>1997489066.5673399</v>
      </c>
      <c r="I23" s="200"/>
      <c r="J23" s="200">
        <v>2084317365.7082059</v>
      </c>
      <c r="K23" s="200"/>
      <c r="L23" s="200">
        <v>2203459157.0393524</v>
      </c>
      <c r="M23" s="202"/>
      <c r="N23" s="203">
        <v>2366581899</v>
      </c>
    </row>
    <row r="25" spans="1:15" ht="45.75">
      <c r="A25" s="204" t="s">
        <v>96</v>
      </c>
      <c r="B25" s="207" t="s">
        <v>16</v>
      </c>
      <c r="C25" s="207" t="s">
        <v>21</v>
      </c>
      <c r="D25" s="207" t="s">
        <v>22</v>
      </c>
      <c r="E25" s="207" t="s">
        <v>17</v>
      </c>
      <c r="F25" s="207" t="s">
        <v>28</v>
      </c>
      <c r="G25" s="207" t="s">
        <v>54</v>
      </c>
      <c r="H25" s="207" t="s">
        <v>103</v>
      </c>
      <c r="I25" s="122" t="s">
        <v>23</v>
      </c>
      <c r="J25" s="122" t="s">
        <v>24</v>
      </c>
      <c r="K25" s="122" t="s">
        <v>25</v>
      </c>
      <c r="L25" s="122" t="s">
        <v>26</v>
      </c>
      <c r="M25" s="122" t="s">
        <v>55</v>
      </c>
      <c r="N25" s="122" t="s">
        <v>104</v>
      </c>
    </row>
    <row r="26" spans="1:15">
      <c r="A26" s="204" t="s">
        <v>3</v>
      </c>
      <c r="B26" s="205">
        <v>686309912.8303057</v>
      </c>
      <c r="C26" s="205">
        <v>823186985.48693132</v>
      </c>
      <c r="D26" s="205">
        <v>859936701.63353586</v>
      </c>
      <c r="E26" s="205">
        <v>884007756.98974931</v>
      </c>
      <c r="F26" s="205">
        <v>895592366.06521523</v>
      </c>
      <c r="G26" s="205">
        <v>904061765.60271132</v>
      </c>
      <c r="H26" s="206">
        <v>988828530</v>
      </c>
      <c r="I26" s="153">
        <f>(C26-B26)/B26</f>
        <v>0.19943916020701469</v>
      </c>
      <c r="J26" s="153">
        <f t="shared" ref="J26:N37" si="1">(D26-C26)/C26</f>
        <v>4.4643218119958923E-2</v>
      </c>
      <c r="K26" s="153">
        <f t="shared" si="1"/>
        <v>2.7991659514575981E-2</v>
      </c>
      <c r="L26" s="153">
        <f t="shared" si="1"/>
        <v>1.3104646405948052E-2</v>
      </c>
      <c r="M26" s="153">
        <f t="shared" si="1"/>
        <v>9.4567571792805623E-3</v>
      </c>
      <c r="N26" s="153">
        <f t="shared" si="1"/>
        <v>9.3762138409622026E-2</v>
      </c>
    </row>
    <row r="27" spans="1:15">
      <c r="A27" s="204" t="s">
        <v>6</v>
      </c>
      <c r="B27" s="205">
        <v>48579262.470536113</v>
      </c>
      <c r="C27" s="205">
        <v>48712758.716575243</v>
      </c>
      <c r="D27" s="205">
        <v>47417108.63611082</v>
      </c>
      <c r="E27" s="205">
        <v>49373724.319496602</v>
      </c>
      <c r="F27" s="205">
        <v>48902911.794700027</v>
      </c>
      <c r="G27" s="205">
        <v>49347018.002259463</v>
      </c>
      <c r="H27" s="206">
        <v>51417092</v>
      </c>
      <c r="I27" s="153">
        <f t="shared" ref="I27:I37" si="2">(C27-B27)/B27</f>
        <v>2.7480089085357528E-3</v>
      </c>
      <c r="J27" s="153">
        <f t="shared" si="1"/>
        <v>-2.6597756205984664E-2</v>
      </c>
      <c r="K27" s="153">
        <f t="shared" si="1"/>
        <v>4.1263918017466546E-2</v>
      </c>
      <c r="L27" s="153">
        <f t="shared" si="1"/>
        <v>-9.5356899096765476E-3</v>
      </c>
      <c r="M27" s="153">
        <f t="shared" si="1"/>
        <v>9.0813857756332547E-3</v>
      </c>
      <c r="N27" s="153">
        <f t="shared" si="1"/>
        <v>4.1949323009665022E-2</v>
      </c>
    </row>
    <row r="28" spans="1:15">
      <c r="A28" s="204" t="s">
        <v>137</v>
      </c>
      <c r="B28" s="205">
        <v>241561440.74700931</v>
      </c>
      <c r="C28" s="205">
        <v>288743083.56975365</v>
      </c>
      <c r="D28" s="205">
        <v>303700110.40560305</v>
      </c>
      <c r="E28" s="205">
        <v>342021448.57850403</v>
      </c>
      <c r="F28" s="205">
        <v>365996892.19741893</v>
      </c>
      <c r="G28" s="205">
        <v>392406676.26398045</v>
      </c>
      <c r="H28" s="205">
        <v>418751824</v>
      </c>
      <c r="I28" s="153">
        <f t="shared" si="2"/>
        <v>0.19531942961111223</v>
      </c>
      <c r="J28" s="153">
        <f t="shared" si="1"/>
        <v>5.1800467914017177E-2</v>
      </c>
      <c r="K28" s="153">
        <f t="shared" si="1"/>
        <v>0.12618150886320512</v>
      </c>
      <c r="L28" s="153">
        <f t="shared" si="1"/>
        <v>7.0099240028836468E-2</v>
      </c>
      <c r="M28" s="153">
        <f t="shared" si="1"/>
        <v>7.2158492680085562E-2</v>
      </c>
      <c r="N28" s="153">
        <f t="shared" si="1"/>
        <v>6.7137358586367685E-2</v>
      </c>
    </row>
    <row r="29" spans="1:15">
      <c r="A29" s="204" t="s">
        <v>70</v>
      </c>
      <c r="B29" s="205">
        <v>29172290.462560922</v>
      </c>
      <c r="C29" s="205">
        <v>39426812.562762178</v>
      </c>
      <c r="D29" s="205">
        <v>32210651.447934903</v>
      </c>
      <c r="E29" s="205">
        <v>27224524.75672384</v>
      </c>
      <c r="F29" s="205">
        <v>34812778.898630671</v>
      </c>
      <c r="G29" s="205">
        <v>32522143.162116364</v>
      </c>
      <c r="H29" s="206">
        <v>19984182</v>
      </c>
      <c r="I29" s="153">
        <f t="shared" si="2"/>
        <v>0.35151583703589151</v>
      </c>
      <c r="J29" s="153">
        <f t="shared" si="1"/>
        <v>-0.18302674362377425</v>
      </c>
      <c r="K29" s="153">
        <f t="shared" si="1"/>
        <v>-0.15479744951047039</v>
      </c>
      <c r="L29" s="153">
        <f t="shared" si="1"/>
        <v>0.27872861729322584</v>
      </c>
      <c r="M29" s="153">
        <f t="shared" si="1"/>
        <v>-6.5798704067385083E-2</v>
      </c>
      <c r="N29" s="153">
        <f t="shared" si="1"/>
        <v>-0.38552075426324584</v>
      </c>
    </row>
    <row r="30" spans="1:15">
      <c r="A30" s="204" t="s">
        <v>64</v>
      </c>
      <c r="B30" s="205">
        <v>124806274.21931769</v>
      </c>
      <c r="C30" s="205">
        <v>133215093.98386577</v>
      </c>
      <c r="D30" s="205">
        <v>132110514.40230712</v>
      </c>
      <c r="E30" s="205">
        <v>139577687.91637066</v>
      </c>
      <c r="F30" s="205">
        <v>139882418.46438774</v>
      </c>
      <c r="G30" s="205">
        <v>151402917.53568065</v>
      </c>
      <c r="H30" s="206">
        <v>168508675</v>
      </c>
      <c r="I30" s="153">
        <f t="shared" si="2"/>
        <v>6.7374976275403869E-2</v>
      </c>
      <c r="J30" s="153">
        <f t="shared" si="1"/>
        <v>-8.2916999007066339E-3</v>
      </c>
      <c r="K30" s="153">
        <f t="shared" si="1"/>
        <v>5.6522174240607861E-2</v>
      </c>
      <c r="L30" s="153">
        <f t="shared" si="1"/>
        <v>2.1832325249553273E-3</v>
      </c>
      <c r="M30" s="153">
        <f t="shared" si="1"/>
        <v>8.235844931595801E-2</v>
      </c>
      <c r="N30" s="153">
        <f t="shared" si="1"/>
        <v>0.11298168980322383</v>
      </c>
    </row>
    <row r="31" spans="1:15">
      <c r="A31" s="204" t="s">
        <v>2</v>
      </c>
      <c r="B31" s="205">
        <v>194270209.69827205</v>
      </c>
      <c r="C31" s="205">
        <v>210639418.69592342</v>
      </c>
      <c r="D31" s="205">
        <v>217976113.08229476</v>
      </c>
      <c r="E31" s="205">
        <v>239206420.32436821</v>
      </c>
      <c r="F31" s="205">
        <v>253090973.8705546</v>
      </c>
      <c r="G31" s="205">
        <v>265033635.44003013</v>
      </c>
      <c r="H31" s="206">
        <v>295313356</v>
      </c>
      <c r="I31" s="153">
        <f t="shared" si="2"/>
        <v>8.4260005808790589E-2</v>
      </c>
      <c r="J31" s="153">
        <f t="shared" si="1"/>
        <v>3.4830585992845477E-2</v>
      </c>
      <c r="K31" s="153">
        <f t="shared" si="1"/>
        <v>9.7397402595476829E-2</v>
      </c>
      <c r="L31" s="153">
        <f t="shared" si="1"/>
        <v>5.8044234462263526E-2</v>
      </c>
      <c r="M31" s="153">
        <f t="shared" si="1"/>
        <v>4.7187228318872017E-2</v>
      </c>
      <c r="N31" s="153">
        <f t="shared" si="1"/>
        <v>0.11424859531393836</v>
      </c>
    </row>
    <row r="32" spans="1:15">
      <c r="A32" s="204" t="s">
        <v>138</v>
      </c>
      <c r="B32" s="205">
        <v>0</v>
      </c>
      <c r="C32" s="205">
        <v>0</v>
      </c>
      <c r="D32" s="205">
        <v>0</v>
      </c>
      <c r="E32" s="205">
        <v>762790.01562975743</v>
      </c>
      <c r="F32" s="205">
        <v>3347078.3749384293</v>
      </c>
      <c r="G32" s="205">
        <v>6236811.3511579745</v>
      </c>
      <c r="H32" s="205">
        <v>4468590</v>
      </c>
      <c r="I32" s="153"/>
      <c r="J32" s="153"/>
      <c r="K32" s="153"/>
      <c r="L32" s="153">
        <f t="shared" si="1"/>
        <v>3.3879420369380302</v>
      </c>
      <c r="M32" s="153">
        <f t="shared" si="1"/>
        <v>0.86335981788078175</v>
      </c>
      <c r="N32" s="153">
        <f t="shared" si="1"/>
        <v>-0.28351368216864103</v>
      </c>
    </row>
    <row r="33" spans="1:14">
      <c r="A33" s="204" t="s">
        <v>139</v>
      </c>
      <c r="B33" s="205">
        <v>164977792.45104122</v>
      </c>
      <c r="C33" s="205">
        <v>171997124.74991933</v>
      </c>
      <c r="D33" s="205">
        <v>178612828.18374702</v>
      </c>
      <c r="E33" s="205">
        <v>194237040.59027708</v>
      </c>
      <c r="F33" s="205">
        <v>213382477.55413258</v>
      </c>
      <c r="G33" s="205">
        <v>244279485.10939559</v>
      </c>
      <c r="H33" s="205">
        <v>255808793</v>
      </c>
      <c r="I33" s="153">
        <f t="shared" si="2"/>
        <v>4.2547134342103402E-2</v>
      </c>
      <c r="J33" s="153">
        <f t="shared" si="1"/>
        <v>3.846403504388117E-2</v>
      </c>
      <c r="K33" s="153">
        <f t="shared" si="1"/>
        <v>8.7475309390749503E-2</v>
      </c>
      <c r="L33" s="153">
        <f t="shared" si="1"/>
        <v>9.8567383984400903E-2</v>
      </c>
      <c r="M33" s="153">
        <f t="shared" si="1"/>
        <v>0.14479636711231272</v>
      </c>
      <c r="N33" s="153">
        <f t="shared" si="1"/>
        <v>4.7197200720483098E-2</v>
      </c>
    </row>
    <row r="34" spans="1:14">
      <c r="A34" s="204" t="s">
        <v>140</v>
      </c>
      <c r="B34" s="205">
        <v>38375295.461231723</v>
      </c>
      <c r="C34" s="205">
        <v>39440127.697536841</v>
      </c>
      <c r="D34" s="205">
        <v>41959538.003913894</v>
      </c>
      <c r="E34" s="205">
        <v>52525843.950471938</v>
      </c>
      <c r="F34" s="205">
        <v>59545418.159787208</v>
      </c>
      <c r="G34" s="205">
        <v>64462181.972886465</v>
      </c>
      <c r="H34" s="205">
        <v>63594515</v>
      </c>
      <c r="I34" s="153">
        <f t="shared" si="2"/>
        <v>2.7747857664857701E-2</v>
      </c>
      <c r="J34" s="153">
        <f t="shared" si="1"/>
        <v>6.3879364836194441E-2</v>
      </c>
      <c r="K34" s="153">
        <f t="shared" si="1"/>
        <v>0.25182131284601944</v>
      </c>
      <c r="L34" s="153">
        <f t="shared" si="1"/>
        <v>0.13364038883286139</v>
      </c>
      <c r="M34" s="153">
        <f t="shared" si="1"/>
        <v>8.2571656477503669E-2</v>
      </c>
      <c r="N34" s="153">
        <f t="shared" si="1"/>
        <v>-1.3460093132612486E-2</v>
      </c>
    </row>
    <row r="35" spans="1:14">
      <c r="A35" s="204" t="s">
        <v>7</v>
      </c>
      <c r="B35" s="205">
        <v>27031598.517058041</v>
      </c>
      <c r="C35" s="205">
        <v>27221821.535979349</v>
      </c>
      <c r="D35" s="205">
        <v>27940263.538984448</v>
      </c>
      <c r="E35" s="205">
        <v>30815106.069217499</v>
      </c>
      <c r="F35" s="205">
        <v>31675336.322726823</v>
      </c>
      <c r="G35" s="205">
        <v>35497348.467331953</v>
      </c>
      <c r="H35" s="206">
        <v>38487829</v>
      </c>
      <c r="I35" s="153">
        <f t="shared" si="2"/>
        <v>7.0370614154124014E-3</v>
      </c>
      <c r="J35" s="153">
        <f t="shared" si="1"/>
        <v>2.6392135517291769E-2</v>
      </c>
      <c r="K35" s="153">
        <f t="shared" si="1"/>
        <v>0.10289246292261509</v>
      </c>
      <c r="L35" s="153">
        <f t="shared" si="1"/>
        <v>2.7915862161144535E-2</v>
      </c>
      <c r="M35" s="153">
        <f t="shared" si="1"/>
        <v>0.12066208565756771</v>
      </c>
      <c r="N35" s="153">
        <f t="shared" si="1"/>
        <v>8.4245180606099979E-2</v>
      </c>
    </row>
    <row r="36" spans="1:14">
      <c r="A36" s="204" t="s">
        <v>141</v>
      </c>
      <c r="B36" s="205">
        <v>26649399.169251218</v>
      </c>
      <c r="C36" s="205">
        <v>29481397.307088308</v>
      </c>
      <c r="D36" s="205">
        <v>34044004.17097538</v>
      </c>
      <c r="E36" s="205">
        <v>37736723.056531005</v>
      </c>
      <c r="F36" s="205">
        <v>38088714.005713724</v>
      </c>
      <c r="G36" s="205">
        <v>58209174.131801918</v>
      </c>
      <c r="H36" s="205">
        <v>61418513</v>
      </c>
      <c r="I36" s="153">
        <f t="shared" si="2"/>
        <v>0.10626874249025187</v>
      </c>
      <c r="J36" s="153">
        <f t="shared" si="1"/>
        <v>0.15476223248041465</v>
      </c>
      <c r="K36" s="153">
        <f t="shared" si="1"/>
        <v>0.10846899404106806</v>
      </c>
      <c r="L36" s="153">
        <f t="shared" si="1"/>
        <v>9.327544118110721E-3</v>
      </c>
      <c r="M36" s="153">
        <f t="shared" si="1"/>
        <v>0.52825254544088585</v>
      </c>
      <c r="N36" s="153">
        <f t="shared" si="1"/>
        <v>5.5134588594767504E-2</v>
      </c>
    </row>
    <row r="37" spans="1:14">
      <c r="A37" s="204" t="s">
        <v>11</v>
      </c>
      <c r="B37" s="205">
        <f>SUM(B26:B36)</f>
        <v>1581733476.0265839</v>
      </c>
      <c r="C37" s="205">
        <v>1812064624.3063354</v>
      </c>
      <c r="D37" s="205">
        <f>SUM(D26:D36)</f>
        <v>1875907833.5054071</v>
      </c>
      <c r="E37" s="205">
        <f>SUM(E26:E36)</f>
        <v>1997489066.5673397</v>
      </c>
      <c r="F37" s="205">
        <f>SUM(F26:F36)</f>
        <v>2084317365.7082059</v>
      </c>
      <c r="G37" s="205">
        <f>SUM(G26:G36)</f>
        <v>2203459157.0393519</v>
      </c>
      <c r="H37" s="206">
        <f>SUM(H26:H36)</f>
        <v>2366581899</v>
      </c>
      <c r="I37" s="153">
        <f t="shared" si="2"/>
        <v>0.14561944333274035</v>
      </c>
      <c r="J37" s="153">
        <f t="shared" si="1"/>
        <v>3.5232302613661497E-2</v>
      </c>
      <c r="K37" s="153">
        <f t="shared" si="1"/>
        <v>6.48119437908313E-2</v>
      </c>
      <c r="L37" s="153">
        <f t="shared" si="1"/>
        <v>4.3468723105493462E-2</v>
      </c>
      <c r="M37" s="153">
        <f t="shared" si="1"/>
        <v>5.7161060638509911E-2</v>
      </c>
      <c r="N37" s="153">
        <f t="shared" si="1"/>
        <v>7.4030299785463563E-2</v>
      </c>
    </row>
    <row r="38" spans="1:14">
      <c r="H38" s="136"/>
    </row>
    <row r="39" spans="1:14">
      <c r="H39" s="153"/>
    </row>
    <row r="40" spans="1:14" ht="26.25">
      <c r="A40" s="208" t="s">
        <v>96</v>
      </c>
      <c r="B40" s="209" t="s">
        <v>23</v>
      </c>
      <c r="C40" s="209" t="s">
        <v>24</v>
      </c>
      <c r="D40" s="209" t="s">
        <v>25</v>
      </c>
      <c r="E40" s="209" t="s">
        <v>26</v>
      </c>
      <c r="F40" s="209" t="s">
        <v>55</v>
      </c>
      <c r="G40" s="209" t="s">
        <v>104</v>
      </c>
      <c r="H40" s="216"/>
    </row>
    <row r="41" spans="1:14">
      <c r="A41" s="213" t="s">
        <v>3</v>
      </c>
      <c r="B41" s="210">
        <v>0.19943916020701469</v>
      </c>
      <c r="C41" s="210">
        <v>4.4643218119958923E-2</v>
      </c>
      <c r="D41" s="210">
        <v>2.7991659514575981E-2</v>
      </c>
      <c r="E41" s="210">
        <v>1.3104646405948052E-2</v>
      </c>
      <c r="F41" s="210">
        <v>9.4567571792805623E-3</v>
      </c>
      <c r="G41" s="212">
        <v>9.3762138409622026E-2</v>
      </c>
      <c r="H41" s="153" t="e">
        <f>H38/I40</f>
        <v>#DIV/0!</v>
      </c>
    </row>
    <row r="42" spans="1:14">
      <c r="A42" s="213" t="s">
        <v>6</v>
      </c>
      <c r="B42" s="210">
        <v>2.7480089085357528E-3</v>
      </c>
      <c r="C42" s="210">
        <v>-2.6597756205984664E-2</v>
      </c>
      <c r="D42" s="210">
        <v>4.1263918017466546E-2</v>
      </c>
      <c r="E42" s="210">
        <v>-9.5356899096765476E-3</v>
      </c>
      <c r="F42" s="210">
        <v>9.0813857756332547E-3</v>
      </c>
      <c r="G42" s="210">
        <v>4.1949323009665022E-2</v>
      </c>
      <c r="H42" t="str">
        <f>H4</f>
        <v>Ley de Presupuestos 2013 (miles de $)</v>
      </c>
    </row>
    <row r="43" spans="1:14" ht="26.25">
      <c r="A43" s="213" t="s">
        <v>137</v>
      </c>
      <c r="B43" s="210">
        <v>0.19531942961111223</v>
      </c>
      <c r="C43" s="210">
        <v>5.1800467914017177E-2</v>
      </c>
      <c r="D43" s="210">
        <v>0.12618150886320512</v>
      </c>
      <c r="E43" s="210">
        <v>7.0099240028836468E-2</v>
      </c>
      <c r="F43" s="210">
        <v>7.2158492680085562E-2</v>
      </c>
      <c r="G43" s="210">
        <v>6.7137358586367685E-2</v>
      </c>
    </row>
    <row r="44" spans="1:14" ht="26.25">
      <c r="A44" s="213" t="s">
        <v>70</v>
      </c>
      <c r="B44" s="210">
        <v>0.35151583703589151</v>
      </c>
      <c r="C44" s="210">
        <v>-0.18302674362377425</v>
      </c>
      <c r="D44" s="210">
        <v>-0.15479744951047039</v>
      </c>
      <c r="E44" s="210">
        <v>0.27872861729322584</v>
      </c>
      <c r="F44" s="210">
        <v>-6.5798704067385083E-2</v>
      </c>
      <c r="G44" s="211">
        <v>-0.38552075426324584</v>
      </c>
    </row>
    <row r="45" spans="1:14">
      <c r="A45" s="213" t="s">
        <v>64</v>
      </c>
      <c r="B45" s="210">
        <v>6.7374976275403869E-2</v>
      </c>
      <c r="C45" s="210">
        <v>-8.2916999007066339E-3</v>
      </c>
      <c r="D45" s="210">
        <v>5.6522174240607861E-2</v>
      </c>
      <c r="E45" s="210">
        <v>2.1832325249553273E-3</v>
      </c>
      <c r="F45" s="210">
        <v>8.235844931595801E-2</v>
      </c>
      <c r="G45" s="212">
        <v>0.11298168980322383</v>
      </c>
    </row>
    <row r="46" spans="1:14">
      <c r="A46" s="213" t="s">
        <v>2</v>
      </c>
      <c r="B46" s="210">
        <v>8.4260005808790589E-2</v>
      </c>
      <c r="C46" s="210">
        <v>3.4830585992845477E-2</v>
      </c>
      <c r="D46" s="210">
        <v>9.7397402595476829E-2</v>
      </c>
      <c r="E46" s="210">
        <v>5.8044234462263526E-2</v>
      </c>
      <c r="F46" s="210">
        <v>4.7187228318872017E-2</v>
      </c>
      <c r="G46" s="212">
        <v>0.11424859531393836</v>
      </c>
    </row>
    <row r="47" spans="1:14" ht="26.25">
      <c r="A47" s="213" t="s">
        <v>138</v>
      </c>
      <c r="B47" s="210"/>
      <c r="C47" s="210"/>
      <c r="D47" s="210"/>
      <c r="E47" s="210">
        <v>3.3879420369380302</v>
      </c>
      <c r="F47" s="210">
        <v>0.86335981788078175</v>
      </c>
      <c r="G47" s="211">
        <v>-0.28351368216864103</v>
      </c>
    </row>
    <row r="48" spans="1:14" ht="39">
      <c r="A48" s="213" t="s">
        <v>139</v>
      </c>
      <c r="B48" s="210">
        <v>4.2547134342103402E-2</v>
      </c>
      <c r="C48" s="210">
        <v>3.846403504388117E-2</v>
      </c>
      <c r="D48" s="210">
        <v>8.7475309390749503E-2</v>
      </c>
      <c r="E48" s="210">
        <v>9.8567383984400903E-2</v>
      </c>
      <c r="F48" s="210">
        <v>0.14479636711231272</v>
      </c>
      <c r="G48" s="210">
        <v>4.7197200720483098E-2</v>
      </c>
    </row>
    <row r="49" spans="1:7">
      <c r="A49" s="213" t="s">
        <v>140</v>
      </c>
      <c r="B49" s="210">
        <v>2.7747857664857701E-2</v>
      </c>
      <c r="C49" s="210">
        <v>6.3879364836194441E-2</v>
      </c>
      <c r="D49" s="210">
        <v>0.25182131284601944</v>
      </c>
      <c r="E49" s="210">
        <v>0.13364038883286139</v>
      </c>
      <c r="F49" s="210">
        <v>8.2571656477503669E-2</v>
      </c>
      <c r="G49" s="210">
        <v>-1.3460093132612486E-2</v>
      </c>
    </row>
    <row r="50" spans="1:7">
      <c r="A50" s="213" t="s">
        <v>66</v>
      </c>
      <c r="B50" s="210">
        <v>7.0370614154124014E-3</v>
      </c>
      <c r="C50" s="210">
        <v>2.6392135517291769E-2</v>
      </c>
      <c r="D50" s="210">
        <v>0.10289246292261509</v>
      </c>
      <c r="E50" s="210">
        <v>2.7915862161144535E-2</v>
      </c>
      <c r="F50" s="210">
        <v>0.12066208565756771</v>
      </c>
      <c r="G50" s="210">
        <v>8.4245180606099979E-2</v>
      </c>
    </row>
    <row r="51" spans="1:7" ht="51.75">
      <c r="A51" s="213" t="s">
        <v>141</v>
      </c>
      <c r="B51" s="210">
        <v>0.10626874249025187</v>
      </c>
      <c r="C51" s="210">
        <v>0.15476223248041465</v>
      </c>
      <c r="D51" s="210">
        <v>0.10846899404106806</v>
      </c>
      <c r="E51" s="210">
        <v>9.327544118110721E-3</v>
      </c>
      <c r="F51" s="210">
        <v>0.52825254544088585</v>
      </c>
      <c r="G51" s="210">
        <v>5.5134588594767504E-2</v>
      </c>
    </row>
    <row r="52" spans="1:7">
      <c r="A52" s="214" t="s">
        <v>11</v>
      </c>
      <c r="B52" s="210">
        <v>0.14561944333274035</v>
      </c>
      <c r="C52" s="210">
        <v>3.5232302613661497E-2</v>
      </c>
      <c r="D52" s="210">
        <v>6.48119437908313E-2</v>
      </c>
      <c r="E52" s="210">
        <v>4.3468723105493462E-2</v>
      </c>
      <c r="F52" s="210">
        <v>5.7161060638509911E-2</v>
      </c>
      <c r="G52" s="210">
        <v>7.4030299785463563E-2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B1:AB57"/>
  <sheetViews>
    <sheetView topLeftCell="A34" workbookViewId="0">
      <selection activeCell="B51" sqref="B51:F57"/>
    </sheetView>
  </sheetViews>
  <sheetFormatPr baseColWidth="10" defaultRowHeight="15"/>
  <cols>
    <col min="1" max="1" width="2.85546875" customWidth="1"/>
    <col min="2" max="2" width="15.42578125" customWidth="1"/>
    <col min="3" max="10" width="9.7109375" customWidth="1"/>
    <col min="13" max="13" width="2.85546875" customWidth="1"/>
    <col min="17" max="17" width="2.85546875" customWidth="1"/>
    <col min="21" max="21" width="2.85546875" customWidth="1"/>
    <col min="25" max="25" width="2.85546875" customWidth="1"/>
    <col min="29" max="29" width="2.85546875" customWidth="1"/>
  </cols>
  <sheetData>
    <row r="1" spans="2:28" ht="24.75" customHeight="1">
      <c r="C1" s="269" t="s">
        <v>182</v>
      </c>
      <c r="D1" s="269"/>
      <c r="G1" s="269" t="s">
        <v>183</v>
      </c>
      <c r="H1" s="269"/>
      <c r="K1" s="271" t="s">
        <v>184</v>
      </c>
      <c r="L1" s="272"/>
      <c r="O1" s="269" t="s">
        <v>185</v>
      </c>
      <c r="P1" s="269"/>
      <c r="S1" s="269" t="s">
        <v>186</v>
      </c>
      <c r="T1" s="269"/>
      <c r="W1" s="269" t="s">
        <v>187</v>
      </c>
      <c r="X1" s="269"/>
      <c r="AA1" s="269" t="s">
        <v>188</v>
      </c>
      <c r="AB1" s="269"/>
    </row>
    <row r="2" spans="2:28" ht="25.5" customHeight="1">
      <c r="C2" s="240" t="s">
        <v>189</v>
      </c>
      <c r="D2" s="241" t="s">
        <v>190</v>
      </c>
      <c r="G2" s="240" t="s">
        <v>189</v>
      </c>
      <c r="H2" s="241" t="s">
        <v>190</v>
      </c>
      <c r="K2" s="240" t="s">
        <v>189</v>
      </c>
      <c r="L2" s="241" t="s">
        <v>190</v>
      </c>
      <c r="O2" s="240" t="s">
        <v>189</v>
      </c>
      <c r="P2" s="241" t="s">
        <v>190</v>
      </c>
      <c r="S2" s="240" t="s">
        <v>189</v>
      </c>
      <c r="T2" s="241" t="s">
        <v>190</v>
      </c>
      <c r="W2" s="240" t="s">
        <v>189</v>
      </c>
      <c r="X2" s="241" t="s">
        <v>190</v>
      </c>
      <c r="AA2" s="240" t="s">
        <v>189</v>
      </c>
      <c r="AB2" s="241" t="s">
        <v>190</v>
      </c>
    </row>
    <row r="3" spans="2:28">
      <c r="B3" s="233" t="s">
        <v>173</v>
      </c>
      <c r="C3" s="234">
        <v>5.77</v>
      </c>
      <c r="D3" s="235">
        <v>0.35071938492555399</v>
      </c>
      <c r="F3" s="233" t="s">
        <v>171</v>
      </c>
      <c r="G3" s="234">
        <v>3.75</v>
      </c>
      <c r="H3" s="235">
        <v>0.32666343944278142</v>
      </c>
      <c r="J3" s="233" t="s">
        <v>168</v>
      </c>
      <c r="K3" s="234">
        <v>5.28</v>
      </c>
      <c r="L3" s="235">
        <v>0.48237790201793346</v>
      </c>
      <c r="N3" s="233" t="s">
        <v>169</v>
      </c>
      <c r="O3" s="234">
        <v>7.5</v>
      </c>
      <c r="P3" s="235">
        <v>0.42705388713305048</v>
      </c>
      <c r="R3" s="233" t="s">
        <v>151</v>
      </c>
      <c r="S3" s="234">
        <v>5.0199999999999996</v>
      </c>
      <c r="T3" s="235">
        <v>0.21492678729034825</v>
      </c>
      <c r="V3" s="233" t="s">
        <v>148</v>
      </c>
      <c r="W3" s="234">
        <v>10.09</v>
      </c>
      <c r="X3" s="235">
        <v>0.67336235488182594</v>
      </c>
      <c r="Z3" s="233" t="s">
        <v>157</v>
      </c>
      <c r="AA3" s="234">
        <v>2.4500000000000002</v>
      </c>
      <c r="AB3" s="235">
        <v>0.11893593483033627</v>
      </c>
    </row>
    <row r="4" spans="2:28">
      <c r="B4" s="233" t="s">
        <v>175</v>
      </c>
      <c r="C4" s="234">
        <v>5.52</v>
      </c>
      <c r="D4" s="235">
        <v>0.53185530767582401</v>
      </c>
      <c r="F4" s="233" t="s">
        <v>155</v>
      </c>
      <c r="G4" s="234">
        <v>2.2799999999999998</v>
      </c>
      <c r="H4" s="235">
        <v>0.10183355429881318</v>
      </c>
      <c r="J4" s="233" t="s">
        <v>149</v>
      </c>
      <c r="K4" s="234">
        <v>3.14</v>
      </c>
      <c r="L4" s="235">
        <v>0.50222053144786827</v>
      </c>
      <c r="N4" s="233" t="s">
        <v>166</v>
      </c>
      <c r="O4" s="234">
        <v>4.21</v>
      </c>
      <c r="P4" s="235">
        <v>0.31580293707089163</v>
      </c>
      <c r="R4" s="233" t="s">
        <v>152</v>
      </c>
      <c r="S4" s="234">
        <v>3.97</v>
      </c>
      <c r="T4" s="235">
        <v>0.15380991565685928</v>
      </c>
      <c r="V4" s="233" t="s">
        <v>150</v>
      </c>
      <c r="W4" s="234">
        <v>9.9499999999999993</v>
      </c>
      <c r="X4" s="235">
        <v>0.4145954013331048</v>
      </c>
      <c r="Z4" s="233" t="s">
        <v>151</v>
      </c>
      <c r="AA4" s="234">
        <v>2.23</v>
      </c>
      <c r="AB4" s="235">
        <v>5.0870741212958773E-2</v>
      </c>
    </row>
    <row r="5" spans="2:28">
      <c r="B5" s="233" t="s">
        <v>153</v>
      </c>
      <c r="C5" s="234">
        <v>4.66</v>
      </c>
      <c r="D5" s="235">
        <v>0.41647659042601953</v>
      </c>
      <c r="F5" s="233" t="s">
        <v>149</v>
      </c>
      <c r="G5" s="234">
        <v>2.12</v>
      </c>
      <c r="H5" s="235">
        <v>0.2223911362556093</v>
      </c>
      <c r="J5" s="233" t="s">
        <v>154</v>
      </c>
      <c r="K5" s="234">
        <v>2.27</v>
      </c>
      <c r="L5" s="235">
        <v>6.600553086981148E-2</v>
      </c>
      <c r="N5" s="233" t="s">
        <v>164</v>
      </c>
      <c r="O5" s="234">
        <v>4.08</v>
      </c>
      <c r="P5" s="235">
        <v>0.22340025799810007</v>
      </c>
      <c r="R5" s="233" t="s">
        <v>156</v>
      </c>
      <c r="S5" s="234">
        <v>3.5</v>
      </c>
      <c r="T5" s="235">
        <v>0.36863784267223654</v>
      </c>
      <c r="V5" s="233" t="s">
        <v>149</v>
      </c>
      <c r="W5" s="234">
        <v>6.33</v>
      </c>
      <c r="X5" s="235">
        <v>0.53505315442686163</v>
      </c>
      <c r="Z5" s="233" t="s">
        <v>148</v>
      </c>
      <c r="AA5" s="236">
        <v>1.7</v>
      </c>
      <c r="AB5" s="235">
        <v>0.30054396624379698</v>
      </c>
    </row>
    <row r="6" spans="2:28">
      <c r="B6" s="233" t="s">
        <v>150</v>
      </c>
      <c r="C6" s="234">
        <v>4.45</v>
      </c>
      <c r="D6" s="235">
        <v>0.311026809449788</v>
      </c>
      <c r="F6" s="233" t="s">
        <v>153</v>
      </c>
      <c r="G6" s="234">
        <v>2.09</v>
      </c>
      <c r="H6" s="235">
        <v>0.25984696744621916</v>
      </c>
      <c r="J6" s="233" t="s">
        <v>156</v>
      </c>
      <c r="K6" s="234">
        <v>2.14</v>
      </c>
      <c r="L6" s="235">
        <v>0.11035874361416008</v>
      </c>
      <c r="N6" s="233" t="s">
        <v>152</v>
      </c>
      <c r="O6" s="234">
        <v>3.89</v>
      </c>
      <c r="P6" s="235">
        <v>0.44274545666594001</v>
      </c>
      <c r="R6" s="233" t="s">
        <v>172</v>
      </c>
      <c r="S6" s="234">
        <v>3.04</v>
      </c>
      <c r="T6" s="235">
        <v>0.14762830677355238</v>
      </c>
      <c r="V6" s="233" t="s">
        <v>172</v>
      </c>
      <c r="W6" s="234">
        <v>6.24</v>
      </c>
      <c r="X6" s="235">
        <v>0.4480736484288792</v>
      </c>
      <c r="Z6" s="233" t="s">
        <v>167</v>
      </c>
      <c r="AA6" s="236">
        <v>1.44</v>
      </c>
      <c r="AB6" s="235">
        <v>1.7797561984929502E-2</v>
      </c>
    </row>
    <row r="7" spans="2:28">
      <c r="B7" s="233" t="s">
        <v>148</v>
      </c>
      <c r="C7" s="234">
        <v>4.03</v>
      </c>
      <c r="D7" s="235">
        <v>0.2638674275504127</v>
      </c>
      <c r="F7" s="233" t="s">
        <v>159</v>
      </c>
      <c r="G7" s="236">
        <v>1.76</v>
      </c>
      <c r="H7" s="235">
        <v>5.613445835646165E-2</v>
      </c>
      <c r="J7" s="233" t="s">
        <v>173</v>
      </c>
      <c r="K7" s="236">
        <v>1.73</v>
      </c>
      <c r="L7" s="235">
        <v>0.15058914638007406</v>
      </c>
      <c r="N7" s="233" t="s">
        <v>172</v>
      </c>
      <c r="O7" s="234">
        <v>3.89</v>
      </c>
      <c r="P7" s="235">
        <v>0.53813553152473548</v>
      </c>
      <c r="R7" s="233" t="s">
        <v>150</v>
      </c>
      <c r="S7" s="234">
        <v>2.92</v>
      </c>
      <c r="T7" s="235">
        <v>0.48934625162220824</v>
      </c>
      <c r="V7" s="233" t="s">
        <v>155</v>
      </c>
      <c r="W7" s="234">
        <v>5.46</v>
      </c>
      <c r="X7" s="235">
        <v>0.62947993054352902</v>
      </c>
      <c r="Z7" s="233" t="s">
        <v>156</v>
      </c>
      <c r="AA7" s="236">
        <v>1.28</v>
      </c>
      <c r="AB7" s="235">
        <v>0.50878158691100583</v>
      </c>
    </row>
    <row r="8" spans="2:28">
      <c r="B8" s="233" t="s">
        <v>176</v>
      </c>
      <c r="C8" s="234">
        <v>3.94</v>
      </c>
      <c r="D8" s="235">
        <v>0.2360282145795656</v>
      </c>
      <c r="F8" s="233" t="s">
        <v>154</v>
      </c>
      <c r="G8" s="236">
        <v>1.67</v>
      </c>
      <c r="H8" s="235">
        <v>0.11125156810664694</v>
      </c>
      <c r="J8" s="233" t="s">
        <v>162</v>
      </c>
      <c r="K8" s="236">
        <v>1.41</v>
      </c>
      <c r="L8" s="235">
        <v>0.1200880860401594</v>
      </c>
      <c r="N8" s="233" t="s">
        <v>175</v>
      </c>
      <c r="O8" s="234">
        <v>3.85</v>
      </c>
      <c r="P8" s="235">
        <v>0.4612628971838505</v>
      </c>
      <c r="R8" s="233" t="s">
        <v>161</v>
      </c>
      <c r="S8" s="236">
        <v>1.84</v>
      </c>
      <c r="T8" s="235">
        <v>0.32547819707934694</v>
      </c>
      <c r="V8" s="233" t="s">
        <v>170</v>
      </c>
      <c r="W8" s="234">
        <v>5.26</v>
      </c>
      <c r="X8" s="235">
        <v>0.34761442637496709</v>
      </c>
      <c r="Z8" s="233" t="s">
        <v>164</v>
      </c>
      <c r="AA8" s="236">
        <v>1.04</v>
      </c>
      <c r="AB8" s="235">
        <v>8.0020503464080621E-3</v>
      </c>
    </row>
    <row r="9" spans="2:28">
      <c r="B9" s="233" t="s">
        <v>180</v>
      </c>
      <c r="C9" s="234">
        <v>3.85</v>
      </c>
      <c r="D9" s="235">
        <v>0.23513086769747782</v>
      </c>
      <c r="F9" s="233" t="s">
        <v>162</v>
      </c>
      <c r="G9" s="236">
        <v>1.66</v>
      </c>
      <c r="H9" s="235">
        <v>0.10839034054434153</v>
      </c>
      <c r="J9" s="233" t="s">
        <v>166</v>
      </c>
      <c r="K9" s="236">
        <v>1.39</v>
      </c>
      <c r="L9" s="235">
        <v>2.5300110834734817E-2</v>
      </c>
      <c r="N9" s="233" t="s">
        <v>160</v>
      </c>
      <c r="O9" s="234">
        <v>3.74</v>
      </c>
      <c r="P9" s="235">
        <v>0.17735115221808789</v>
      </c>
      <c r="R9" s="233" t="s">
        <v>165</v>
      </c>
      <c r="S9" s="236">
        <v>1.8</v>
      </c>
      <c r="T9" s="235">
        <v>0.24197436416419876</v>
      </c>
      <c r="V9" s="233" t="s">
        <v>159</v>
      </c>
      <c r="W9" s="234">
        <v>3.8</v>
      </c>
      <c r="X9" s="235">
        <v>0.27301172066220297</v>
      </c>
      <c r="Z9" s="233" t="s">
        <v>153</v>
      </c>
      <c r="AA9" s="237">
        <v>0.91</v>
      </c>
      <c r="AB9" s="235">
        <v>-0.11536169356076614</v>
      </c>
    </row>
    <row r="10" spans="2:28">
      <c r="B10" s="233" t="s">
        <v>157</v>
      </c>
      <c r="C10" s="234">
        <v>3.83</v>
      </c>
      <c r="D10" s="235">
        <v>0.28161993505296151</v>
      </c>
      <c r="F10" s="233" t="s">
        <v>151</v>
      </c>
      <c r="G10" s="236">
        <v>1.52</v>
      </c>
      <c r="H10" s="235">
        <v>3.6729451244697404E-2</v>
      </c>
      <c r="J10" s="233" t="s">
        <v>153</v>
      </c>
      <c r="K10" s="236">
        <v>1.1599999999999999</v>
      </c>
      <c r="L10" s="235">
        <v>8.0798948816911728E-2</v>
      </c>
      <c r="N10" s="233" t="s">
        <v>170</v>
      </c>
      <c r="O10" s="234">
        <v>3.47</v>
      </c>
      <c r="P10" s="235">
        <v>0.28741448294901406</v>
      </c>
      <c r="R10" s="233" t="s">
        <v>171</v>
      </c>
      <c r="S10" s="236">
        <v>1.31</v>
      </c>
      <c r="T10" s="235">
        <v>0.30349503197946981</v>
      </c>
      <c r="V10" s="233" t="s">
        <v>167</v>
      </c>
      <c r="W10" s="234">
        <v>2.84</v>
      </c>
      <c r="X10" s="235">
        <v>0.18425086523363629</v>
      </c>
      <c r="Z10" s="233" t="s">
        <v>149</v>
      </c>
      <c r="AA10" s="237">
        <v>0.81</v>
      </c>
      <c r="AB10" s="235">
        <v>2.5924731829364202E-2</v>
      </c>
    </row>
    <row r="11" spans="2:28">
      <c r="B11" s="233" t="s">
        <v>165</v>
      </c>
      <c r="C11" s="234">
        <v>2.96</v>
      </c>
      <c r="D11" s="235">
        <v>0.1820646545755733</v>
      </c>
      <c r="F11" s="233" t="s">
        <v>148</v>
      </c>
      <c r="G11" s="236">
        <v>1.49</v>
      </c>
      <c r="H11" s="235">
        <v>3.391250350980779E-2</v>
      </c>
      <c r="J11" s="233" t="s">
        <v>148</v>
      </c>
      <c r="K11" s="236">
        <v>1.06</v>
      </c>
      <c r="L11" s="235">
        <v>0.11811472211005161</v>
      </c>
      <c r="N11" s="233" t="s">
        <v>162</v>
      </c>
      <c r="O11" s="234">
        <v>3.3</v>
      </c>
      <c r="P11" s="235">
        <v>0.20728551317049593</v>
      </c>
      <c r="R11" s="233" t="s">
        <v>174</v>
      </c>
      <c r="S11" s="236">
        <v>1.27</v>
      </c>
      <c r="T11" s="235">
        <v>8.0609593024407344E-2</v>
      </c>
      <c r="V11" s="233" t="s">
        <v>151</v>
      </c>
      <c r="W11" s="234">
        <v>2.33</v>
      </c>
      <c r="X11" s="235">
        <v>0.14875819243100372</v>
      </c>
      <c r="Z11" s="233" t="s">
        <v>166</v>
      </c>
      <c r="AA11" s="237">
        <v>0.75</v>
      </c>
      <c r="AB11" s="235">
        <v>6.5828211982199056E-2</v>
      </c>
    </row>
    <row r="12" spans="2:28">
      <c r="B12" s="233" t="s">
        <v>152</v>
      </c>
      <c r="C12" s="234">
        <v>2.57</v>
      </c>
      <c r="D12" s="235">
        <v>0.15537507894113878</v>
      </c>
      <c r="F12" s="233" t="s">
        <v>160</v>
      </c>
      <c r="G12" s="236">
        <v>1.44</v>
      </c>
      <c r="H12" s="235">
        <v>0.13635241040373008</v>
      </c>
      <c r="J12" s="233" t="s">
        <v>160</v>
      </c>
      <c r="K12" s="237">
        <v>1</v>
      </c>
      <c r="L12" s="235">
        <v>0.21653299410618332</v>
      </c>
      <c r="N12" s="233" t="s">
        <v>151</v>
      </c>
      <c r="O12" s="234">
        <v>3.1</v>
      </c>
      <c r="P12" s="235">
        <v>0.22047782051509279</v>
      </c>
      <c r="R12" s="233" t="s">
        <v>170</v>
      </c>
      <c r="S12" s="237">
        <v>0.87</v>
      </c>
      <c r="T12" s="235">
        <v>0.22294964955573365</v>
      </c>
      <c r="V12" s="233" t="s">
        <v>154</v>
      </c>
      <c r="W12" s="236">
        <v>1.79</v>
      </c>
      <c r="X12" s="235">
        <v>0.32200343191835135</v>
      </c>
      <c r="Z12" s="233" t="s">
        <v>158</v>
      </c>
      <c r="AA12" s="237">
        <v>0.38</v>
      </c>
      <c r="AB12" s="235">
        <v>-4.6616469760617167E-2</v>
      </c>
    </row>
    <row r="13" spans="2:28">
      <c r="B13" s="233" t="s">
        <v>155</v>
      </c>
      <c r="C13" s="234">
        <v>2.5499999999999998</v>
      </c>
      <c r="D13" s="235">
        <v>0.18878654268058903</v>
      </c>
      <c r="F13" s="233" t="s">
        <v>150</v>
      </c>
      <c r="G13" s="236">
        <v>1.44</v>
      </c>
      <c r="H13" s="235">
        <v>2.3055602749834762E-2</v>
      </c>
      <c r="J13" s="233" t="s">
        <v>152</v>
      </c>
      <c r="K13" s="237">
        <v>0.67</v>
      </c>
      <c r="L13" s="235">
        <v>-6.4140298296106513E-2</v>
      </c>
      <c r="N13" s="233" t="s">
        <v>149</v>
      </c>
      <c r="O13" s="234">
        <v>2.92</v>
      </c>
      <c r="P13" s="235">
        <v>0.10876981842939165</v>
      </c>
      <c r="R13" s="233" t="s">
        <v>155</v>
      </c>
      <c r="S13" s="237">
        <v>0.86</v>
      </c>
      <c r="T13" s="235">
        <v>0.30779225318148196</v>
      </c>
      <c r="V13" s="233" t="s">
        <v>165</v>
      </c>
      <c r="W13" s="236">
        <v>1.5</v>
      </c>
      <c r="X13" s="235">
        <v>4.2653336813560316E-2</v>
      </c>
      <c r="Z13" s="233" t="s">
        <v>163</v>
      </c>
      <c r="AA13" s="237">
        <v>0.08</v>
      </c>
      <c r="AB13" s="235">
        <v>6.036698355520248E-2</v>
      </c>
    </row>
    <row r="14" spans="2:28">
      <c r="B14" s="233" t="s">
        <v>161</v>
      </c>
      <c r="C14" s="234">
        <v>2.54</v>
      </c>
      <c r="D14" s="235">
        <v>0.10765351031558869</v>
      </c>
      <c r="F14" s="233" t="s">
        <v>165</v>
      </c>
      <c r="G14" s="236">
        <v>1.44</v>
      </c>
      <c r="H14" s="235">
        <v>2.6529831605103176E-2</v>
      </c>
      <c r="J14" s="233" t="s">
        <v>150</v>
      </c>
      <c r="K14" s="237">
        <v>0.48</v>
      </c>
      <c r="L14" s="235">
        <v>8.4133549182660528E-2</v>
      </c>
      <c r="N14" s="233" t="s">
        <v>148</v>
      </c>
      <c r="O14" s="234">
        <v>2.5099999999999998</v>
      </c>
      <c r="P14" s="235">
        <v>0.157181976885237</v>
      </c>
      <c r="R14" s="233" t="s">
        <v>167</v>
      </c>
      <c r="S14" s="237">
        <v>0.77</v>
      </c>
      <c r="T14" s="235">
        <v>0.15565862087370005</v>
      </c>
      <c r="V14" s="233" t="s">
        <v>158</v>
      </c>
      <c r="W14" s="236">
        <v>1.42</v>
      </c>
      <c r="X14" s="235">
        <v>2.0022145134978714E-2</v>
      </c>
      <c r="Z14" s="233" t="s">
        <v>160</v>
      </c>
      <c r="AA14" s="237">
        <v>-0.28999999999999998</v>
      </c>
      <c r="AB14" s="235">
        <v>-3.0771751846491606E-2</v>
      </c>
    </row>
    <row r="15" spans="2:28">
      <c r="B15" s="233" t="s">
        <v>166</v>
      </c>
      <c r="C15" s="234">
        <v>2.37</v>
      </c>
      <c r="D15" s="235">
        <v>0.27662028072194572</v>
      </c>
      <c r="F15" s="233" t="s">
        <v>161</v>
      </c>
      <c r="G15" s="236">
        <v>1.43</v>
      </c>
      <c r="H15" s="235">
        <v>1.4777888188540884E-2</v>
      </c>
      <c r="J15" s="233" t="s">
        <v>164</v>
      </c>
      <c r="K15" s="237">
        <v>0.19</v>
      </c>
      <c r="L15" s="235">
        <v>-4.1187596747089043E-2</v>
      </c>
      <c r="N15" s="233" t="s">
        <v>154</v>
      </c>
      <c r="O15" s="234">
        <v>2.35</v>
      </c>
      <c r="P15" s="235">
        <v>0.11831068269565438</v>
      </c>
      <c r="R15" s="233" t="s">
        <v>160</v>
      </c>
      <c r="S15" s="237">
        <v>0.27</v>
      </c>
      <c r="T15" s="235">
        <v>0.14400062550835291</v>
      </c>
      <c r="V15" s="233" t="s">
        <v>169</v>
      </c>
      <c r="W15" s="236">
        <v>1.29</v>
      </c>
      <c r="X15" s="235">
        <v>-6.9372684492449484E-3</v>
      </c>
      <c r="Z15" s="233" t="s">
        <v>159</v>
      </c>
      <c r="AA15" s="237">
        <v>-0.37</v>
      </c>
      <c r="AB15" s="235">
        <v>7.7766110882644249E-2</v>
      </c>
    </row>
    <row r="16" spans="2:28">
      <c r="B16" s="233" t="s">
        <v>154</v>
      </c>
      <c r="C16" s="234">
        <v>2.2999999999999998</v>
      </c>
      <c r="D16" s="235">
        <v>0.11004076131331041</v>
      </c>
      <c r="F16" s="233" t="s">
        <v>172</v>
      </c>
      <c r="G16" s="236">
        <v>1.39</v>
      </c>
      <c r="H16" s="235">
        <v>1.0796928428402304E-2</v>
      </c>
      <c r="J16" s="233" t="s">
        <v>169</v>
      </c>
      <c r="K16" s="237">
        <v>0.01</v>
      </c>
      <c r="L16" s="235">
        <v>-9.0929052996111273E-2</v>
      </c>
      <c r="N16" s="233" t="s">
        <v>173</v>
      </c>
      <c r="O16" s="234">
        <v>2.29</v>
      </c>
      <c r="P16" s="235">
        <v>0.14038702238302175</v>
      </c>
      <c r="R16" s="233" t="s">
        <v>154</v>
      </c>
      <c r="S16" s="237">
        <v>0.17</v>
      </c>
      <c r="T16" s="235">
        <v>6.4956688218687497E-2</v>
      </c>
      <c r="V16" s="233" t="s">
        <v>152</v>
      </c>
      <c r="W16" s="236">
        <v>1.26</v>
      </c>
      <c r="X16" s="235">
        <v>-1.2755886120721899E-2</v>
      </c>
      <c r="Z16" s="233" t="s">
        <v>171</v>
      </c>
      <c r="AA16" s="237">
        <v>-0.49</v>
      </c>
      <c r="AB16" s="235">
        <v>0.10420858808408429</v>
      </c>
    </row>
    <row r="17" spans="2:28">
      <c r="B17" s="233" t="s">
        <v>159</v>
      </c>
      <c r="C17" s="234">
        <v>2.19</v>
      </c>
      <c r="D17" s="235">
        <v>7.3904777939782354E-2</v>
      </c>
      <c r="F17" s="233" t="s">
        <v>176</v>
      </c>
      <c r="G17" s="236">
        <v>1.35</v>
      </c>
      <c r="H17" s="235">
        <v>-3.3892894011310452E-3</v>
      </c>
      <c r="J17" s="233" t="s">
        <v>151</v>
      </c>
      <c r="K17" s="237">
        <v>-0.17</v>
      </c>
      <c r="L17" s="235">
        <v>-7.3396296901891173E-2</v>
      </c>
      <c r="N17" s="233" t="s">
        <v>153</v>
      </c>
      <c r="O17" s="234">
        <v>2.25</v>
      </c>
      <c r="P17" s="235">
        <v>0.25984696744621921</v>
      </c>
      <c r="R17" s="233" t="s">
        <v>176</v>
      </c>
      <c r="S17" s="237">
        <v>0.09</v>
      </c>
      <c r="T17" s="235">
        <v>-0.14297129015095467</v>
      </c>
      <c r="V17" s="233" t="s">
        <v>177</v>
      </c>
      <c r="W17" s="236">
        <v>1.1599999999999999</v>
      </c>
      <c r="X17" s="235">
        <v>3.340378335951813E-2</v>
      </c>
      <c r="Z17" s="233" t="s">
        <v>150</v>
      </c>
      <c r="AA17" s="237">
        <v>-0.53</v>
      </c>
      <c r="AB17" s="235">
        <v>-0.19255611567916284</v>
      </c>
    </row>
    <row r="18" spans="2:28">
      <c r="B18" s="233" t="s">
        <v>168</v>
      </c>
      <c r="C18" s="234">
        <v>2.17</v>
      </c>
      <c r="D18" s="235">
        <v>9.0474244171942136E-2</v>
      </c>
      <c r="F18" s="233" t="s">
        <v>180</v>
      </c>
      <c r="G18" s="236">
        <v>1.3</v>
      </c>
      <c r="H18" s="235">
        <v>-8.8778379012016614E-3</v>
      </c>
      <c r="J18" s="233" t="s">
        <v>175</v>
      </c>
      <c r="K18" s="237">
        <v>-0.21</v>
      </c>
      <c r="L18" s="235">
        <v>-6.1190833932487684E-2</v>
      </c>
      <c r="N18" s="233" t="s">
        <v>150</v>
      </c>
      <c r="O18" s="236">
        <v>1.85</v>
      </c>
      <c r="P18" s="235">
        <v>0.10269466164652838</v>
      </c>
      <c r="R18" s="233" t="s">
        <v>157</v>
      </c>
      <c r="S18" s="237">
        <v>0</v>
      </c>
      <c r="T18" s="235">
        <v>-0.19019933440646741</v>
      </c>
      <c r="V18" s="233" t="s">
        <v>178</v>
      </c>
      <c r="W18" s="237">
        <v>0.95</v>
      </c>
      <c r="X18" s="235">
        <v>0.13204056362776803</v>
      </c>
      <c r="Z18" s="233" t="s">
        <v>154</v>
      </c>
      <c r="AA18" s="237">
        <v>-0.7</v>
      </c>
      <c r="AB18" s="235">
        <v>4.5835907142809891E-2</v>
      </c>
    </row>
    <row r="19" spans="2:28">
      <c r="B19" s="233" t="s">
        <v>164</v>
      </c>
      <c r="C19" s="236">
        <v>1.91</v>
      </c>
      <c r="D19" s="235">
        <v>8.377633271054935E-2</v>
      </c>
      <c r="F19" s="233" t="s">
        <v>169</v>
      </c>
      <c r="G19" s="236">
        <v>1.26</v>
      </c>
      <c r="H19" s="235">
        <v>1.0512487167807056E-2</v>
      </c>
      <c r="J19" s="233" t="s">
        <v>170</v>
      </c>
      <c r="K19" s="237">
        <v>-0.35</v>
      </c>
      <c r="L19" s="235">
        <v>4.4205495147272324E-2</v>
      </c>
      <c r="N19" s="233" t="s">
        <v>158</v>
      </c>
      <c r="O19" s="236">
        <v>1.34</v>
      </c>
      <c r="P19" s="235">
        <v>7.0880145464393543E-2</v>
      </c>
      <c r="R19" s="233" t="s">
        <v>181</v>
      </c>
      <c r="S19" s="237">
        <v>-0.05</v>
      </c>
      <c r="T19" s="235">
        <v>3.1365472576493423E-3</v>
      </c>
      <c r="V19" s="233" t="s">
        <v>162</v>
      </c>
      <c r="W19" s="237">
        <v>0.92</v>
      </c>
      <c r="X19" s="235">
        <v>0.10274536183543019</v>
      </c>
      <c r="Z19" s="233" t="s">
        <v>155</v>
      </c>
      <c r="AA19" s="238">
        <v>-1.03</v>
      </c>
      <c r="AB19" s="235">
        <v>-1.3436288272298232E-2</v>
      </c>
    </row>
    <row r="20" spans="2:28">
      <c r="B20" s="233" t="s">
        <v>151</v>
      </c>
      <c r="C20" s="236">
        <v>1.81</v>
      </c>
      <c r="D20" s="235">
        <v>7.0787744831825303E-2</v>
      </c>
      <c r="F20" s="233" t="s">
        <v>178</v>
      </c>
      <c r="G20" s="236">
        <v>1.24</v>
      </c>
      <c r="H20" s="235">
        <v>-1.1784794071987627E-2</v>
      </c>
      <c r="J20" s="233" t="s">
        <v>157</v>
      </c>
      <c r="K20" s="237">
        <v>-0.45</v>
      </c>
      <c r="L20" s="235">
        <v>1.8726510715096293E-2</v>
      </c>
      <c r="N20" s="233" t="s">
        <v>156</v>
      </c>
      <c r="O20" s="236">
        <v>1.0900000000000001</v>
      </c>
      <c r="P20" s="235">
        <v>0.19011986319324903</v>
      </c>
      <c r="R20" s="233" t="s">
        <v>168</v>
      </c>
      <c r="S20" s="237">
        <v>-0.14000000000000001</v>
      </c>
      <c r="T20" s="235">
        <v>-0.24321672700198324</v>
      </c>
      <c r="V20" s="233" t="s">
        <v>164</v>
      </c>
      <c r="W20" s="237">
        <v>0.86</v>
      </c>
      <c r="X20" s="235">
        <v>4.11648925272146E-2</v>
      </c>
      <c r="Z20" s="233" t="s">
        <v>174</v>
      </c>
      <c r="AA20" s="238">
        <v>-1.26</v>
      </c>
      <c r="AB20" s="235">
        <v>-0.14287414275922927</v>
      </c>
    </row>
    <row r="21" spans="2:28">
      <c r="B21" s="233" t="s">
        <v>174</v>
      </c>
      <c r="C21" s="236">
        <v>1.76</v>
      </c>
      <c r="D21" s="235">
        <v>0.17361993370378384</v>
      </c>
      <c r="F21" s="233" t="s">
        <v>152</v>
      </c>
      <c r="G21" s="236">
        <v>1.1200000000000001</v>
      </c>
      <c r="H21" s="235">
        <v>-2.4704071293824958E-2</v>
      </c>
      <c r="J21" s="233" t="s">
        <v>155</v>
      </c>
      <c r="K21" s="237">
        <v>-0.54</v>
      </c>
      <c r="L21" s="235">
        <v>-5.3900014565720189E-2</v>
      </c>
      <c r="N21" s="233" t="s">
        <v>155</v>
      </c>
      <c r="O21" s="236">
        <v>1.07</v>
      </c>
      <c r="P21" s="235">
        <v>0.14193828195412719</v>
      </c>
      <c r="R21" s="233" t="s">
        <v>175</v>
      </c>
      <c r="S21" s="237">
        <v>-0.27</v>
      </c>
      <c r="T21" s="235">
        <v>-0.16367972551112961</v>
      </c>
      <c r="V21" s="233" t="s">
        <v>161</v>
      </c>
      <c r="W21" s="237">
        <v>0.75</v>
      </c>
      <c r="X21" s="235">
        <v>-0.10640028908757733</v>
      </c>
      <c r="Z21" s="233" t="s">
        <v>172</v>
      </c>
      <c r="AA21" s="238">
        <v>-1.26</v>
      </c>
      <c r="AB21" s="235">
        <v>-1.7460012678424772E-2</v>
      </c>
    </row>
    <row r="22" spans="2:28">
      <c r="B22" s="233" t="s">
        <v>171</v>
      </c>
      <c r="C22" s="236">
        <v>1.6</v>
      </c>
      <c r="D22" s="235">
        <v>0.23534646254599959</v>
      </c>
      <c r="F22" s="233" t="s">
        <v>175</v>
      </c>
      <c r="G22" s="236">
        <v>1.05</v>
      </c>
      <c r="H22" s="235">
        <v>0.16272531603876253</v>
      </c>
      <c r="J22" s="233" t="s">
        <v>158</v>
      </c>
      <c r="K22" s="237">
        <v>-0.81</v>
      </c>
      <c r="L22" s="235">
        <v>-0.17449924226263808</v>
      </c>
      <c r="N22" s="233" t="s">
        <v>163</v>
      </c>
      <c r="O22" s="237">
        <v>0.95</v>
      </c>
      <c r="P22" s="235">
        <v>2.0014418112401639E-2</v>
      </c>
      <c r="R22" s="233" t="s">
        <v>169</v>
      </c>
      <c r="S22" s="237">
        <v>-0.31</v>
      </c>
      <c r="T22" s="235">
        <v>-0.21452349224119899</v>
      </c>
      <c r="V22" s="233" t="s">
        <v>153</v>
      </c>
      <c r="W22" s="237">
        <v>0.65</v>
      </c>
      <c r="X22" s="235">
        <v>7.7386372160904604E-2</v>
      </c>
      <c r="Z22" s="233" t="s">
        <v>162</v>
      </c>
      <c r="AA22" s="238">
        <v>-1.32</v>
      </c>
      <c r="AB22" s="235">
        <v>-0.16445804024361257</v>
      </c>
    </row>
    <row r="23" spans="2:28">
      <c r="B23" s="233" t="s">
        <v>172</v>
      </c>
      <c r="C23" s="236">
        <v>1.39</v>
      </c>
      <c r="D23" s="235">
        <v>0.11287141499626828</v>
      </c>
      <c r="F23" s="233" t="s">
        <v>157</v>
      </c>
      <c r="G23" s="237">
        <v>0.93</v>
      </c>
      <c r="H23" s="235">
        <v>-5.127845199507694E-2</v>
      </c>
      <c r="J23" s="233" t="s">
        <v>180</v>
      </c>
      <c r="K23" s="238">
        <v>-1.03</v>
      </c>
      <c r="L23" s="235">
        <v>-8.8973737340885747E-2</v>
      </c>
      <c r="N23" s="233" t="s">
        <v>180</v>
      </c>
      <c r="O23" s="237">
        <v>0.9</v>
      </c>
      <c r="P23" s="235">
        <v>-5.3381725333250578E-2</v>
      </c>
      <c r="R23" s="233" t="s">
        <v>162</v>
      </c>
      <c r="S23" s="237">
        <v>-0.38</v>
      </c>
      <c r="T23" s="235">
        <v>-2.6095306640622991E-2</v>
      </c>
      <c r="V23" s="233" t="s">
        <v>168</v>
      </c>
      <c r="W23" s="237">
        <v>0.57999999999999996</v>
      </c>
      <c r="X23" s="235">
        <v>-0.11476611599385279</v>
      </c>
      <c r="Z23" s="233" t="s">
        <v>177</v>
      </c>
      <c r="AA23" s="238">
        <v>-1.47</v>
      </c>
      <c r="AB23" s="235">
        <v>-0.244959238226443</v>
      </c>
    </row>
    <row r="24" spans="2:28">
      <c r="B24" s="233" t="s">
        <v>170</v>
      </c>
      <c r="C24" s="236">
        <v>1.31</v>
      </c>
      <c r="D24" s="235">
        <v>4.7380174828300769E-3</v>
      </c>
      <c r="F24" s="233" t="s">
        <v>163</v>
      </c>
      <c r="G24" s="237">
        <v>0.88</v>
      </c>
      <c r="H24" s="235">
        <v>0.11196121492500351</v>
      </c>
      <c r="J24" s="233" t="s">
        <v>167</v>
      </c>
      <c r="K24" s="238">
        <v>-1.0900000000000001</v>
      </c>
      <c r="L24" s="235">
        <v>3.9568632829526891E-2</v>
      </c>
      <c r="N24" s="233" t="s">
        <v>159</v>
      </c>
      <c r="O24" s="237">
        <v>0.63</v>
      </c>
      <c r="P24" s="235">
        <v>-2.9203605398588336E-2</v>
      </c>
      <c r="R24" s="233" t="s">
        <v>178</v>
      </c>
      <c r="S24" s="237">
        <v>-0.91</v>
      </c>
      <c r="T24" s="235">
        <v>5.2510262683559711E-2</v>
      </c>
      <c r="V24" s="233" t="s">
        <v>160</v>
      </c>
      <c r="W24" s="237">
        <v>0.51</v>
      </c>
      <c r="X24" s="235">
        <v>9.3477800080077514E-2</v>
      </c>
      <c r="Z24" s="233" t="s">
        <v>168</v>
      </c>
      <c r="AA24" s="238">
        <v>-1.47</v>
      </c>
      <c r="AB24" s="235">
        <v>-6.4059870537146596E-2</v>
      </c>
    </row>
    <row r="25" spans="2:28">
      <c r="B25" s="233" t="s">
        <v>162</v>
      </c>
      <c r="C25" s="236">
        <v>1.1599999999999999</v>
      </c>
      <c r="D25" s="235">
        <v>-1.7227231384017272E-2</v>
      </c>
      <c r="F25" s="233" t="s">
        <v>156</v>
      </c>
      <c r="G25" s="237">
        <v>0.85</v>
      </c>
      <c r="H25" s="235">
        <v>-4.251673557909378E-2</v>
      </c>
      <c r="J25" s="233" t="s">
        <v>172</v>
      </c>
      <c r="K25" s="238">
        <v>-1.18</v>
      </c>
      <c r="L25" s="235">
        <v>-0.1128577125529394</v>
      </c>
      <c r="N25" s="233" t="s">
        <v>157</v>
      </c>
      <c r="O25" s="237">
        <v>0.59</v>
      </c>
      <c r="P25" s="235">
        <v>-3.3885770554654436E-2</v>
      </c>
      <c r="R25" s="233" t="s">
        <v>153</v>
      </c>
      <c r="S25" s="237">
        <v>-0.97</v>
      </c>
      <c r="T25" s="235">
        <v>-3.276265079935433E-2</v>
      </c>
      <c r="V25" s="233" t="s">
        <v>163</v>
      </c>
      <c r="W25" s="237">
        <v>0.08</v>
      </c>
      <c r="X25" s="235">
        <v>8.4195339941213615E-2</v>
      </c>
      <c r="Z25" s="233" t="s">
        <v>165</v>
      </c>
      <c r="AA25" s="238">
        <v>-1.5</v>
      </c>
      <c r="AB25" s="235">
        <v>-0.16461710255584727</v>
      </c>
    </row>
    <row r="26" spans="2:28">
      <c r="B26" s="233" t="s">
        <v>149</v>
      </c>
      <c r="C26" s="236">
        <v>1.08</v>
      </c>
      <c r="D26" s="235">
        <v>0.1212310090664515</v>
      </c>
      <c r="F26" s="233" t="s">
        <v>167</v>
      </c>
      <c r="G26" s="237">
        <v>0.84</v>
      </c>
      <c r="H26" s="235">
        <v>-9.3883339612561484E-2</v>
      </c>
      <c r="J26" s="233" t="s">
        <v>163</v>
      </c>
      <c r="K26" s="238">
        <v>-1.38</v>
      </c>
      <c r="L26" s="235">
        <v>-0.17632102406245259</v>
      </c>
      <c r="N26" s="233" t="s">
        <v>176</v>
      </c>
      <c r="O26" s="237">
        <v>0.52</v>
      </c>
      <c r="P26" s="235">
        <v>-9.5257409577123489E-2</v>
      </c>
      <c r="R26" s="233" t="s">
        <v>149</v>
      </c>
      <c r="S26" s="237">
        <v>-0.97</v>
      </c>
      <c r="T26" s="235">
        <v>-2.8474638441601835E-2</v>
      </c>
      <c r="V26" s="233" t="s">
        <v>156</v>
      </c>
      <c r="W26" s="237">
        <v>-0.11</v>
      </c>
      <c r="X26" s="235">
        <v>-3.4801318460472484E-2</v>
      </c>
      <c r="Z26" s="233" t="s">
        <v>152</v>
      </c>
      <c r="AA26" s="238">
        <v>-1.5</v>
      </c>
      <c r="AB26" s="235">
        <v>-1.0978880244151779E-2</v>
      </c>
    </row>
    <row r="27" spans="2:28">
      <c r="B27" s="233" t="s">
        <v>167</v>
      </c>
      <c r="C27" s="237">
        <v>0.93</v>
      </c>
      <c r="D27" s="235">
        <v>-2.2004728130712484E-2</v>
      </c>
      <c r="F27" s="233" t="s">
        <v>158</v>
      </c>
      <c r="G27" s="237">
        <v>0.84</v>
      </c>
      <c r="H27" s="235">
        <v>-8.5289875749163774E-2</v>
      </c>
      <c r="J27" s="233" t="s">
        <v>177</v>
      </c>
      <c r="K27" s="238">
        <v>-1.48</v>
      </c>
      <c r="L27" s="235">
        <v>-0.28442021631090458</v>
      </c>
      <c r="N27" s="233" t="s">
        <v>171</v>
      </c>
      <c r="O27" s="237">
        <v>0.5</v>
      </c>
      <c r="P27" s="235">
        <v>1.9565421053248655E-2</v>
      </c>
      <c r="R27" s="233" t="s">
        <v>180</v>
      </c>
      <c r="S27" s="238">
        <v>-1.04</v>
      </c>
      <c r="T27" s="235">
        <v>-6.3940180240023875E-2</v>
      </c>
      <c r="V27" s="233" t="s">
        <v>180</v>
      </c>
      <c r="W27" s="237">
        <v>-0.2</v>
      </c>
      <c r="X27" s="235">
        <v>-0.10816969398228093</v>
      </c>
      <c r="Z27" s="233" t="s">
        <v>179</v>
      </c>
      <c r="AA27" s="238">
        <v>-1.52</v>
      </c>
      <c r="AB27" s="235">
        <v>-0.20715856639679664</v>
      </c>
    </row>
    <row r="28" spans="2:28">
      <c r="B28" s="233" t="s">
        <v>178</v>
      </c>
      <c r="C28" s="237">
        <v>0.86</v>
      </c>
      <c r="D28" s="235">
        <v>0.10706078294843056</v>
      </c>
      <c r="F28" s="233" t="s">
        <v>181</v>
      </c>
      <c r="G28" s="237">
        <v>0.7</v>
      </c>
      <c r="H28" s="235">
        <v>-0.12283514550274886</v>
      </c>
      <c r="J28" s="233" t="s">
        <v>179</v>
      </c>
      <c r="K28" s="238">
        <v>-1.49</v>
      </c>
      <c r="L28" s="235">
        <v>-0.16329925304853415</v>
      </c>
      <c r="N28" s="233" t="s">
        <v>174</v>
      </c>
      <c r="O28" s="237">
        <v>0.48</v>
      </c>
      <c r="P28" s="235">
        <v>0.25814264575823209</v>
      </c>
      <c r="R28" s="233" t="s">
        <v>166</v>
      </c>
      <c r="S28" s="238">
        <v>-1.06</v>
      </c>
      <c r="T28" s="235">
        <v>2.6767442209331017E-3</v>
      </c>
      <c r="V28" s="233" t="s">
        <v>166</v>
      </c>
      <c r="W28" s="237">
        <v>-0.4</v>
      </c>
      <c r="X28" s="235">
        <v>0.18206696504079523</v>
      </c>
      <c r="Z28" s="233" t="s">
        <v>173</v>
      </c>
      <c r="AA28" s="238">
        <v>-1.56</v>
      </c>
      <c r="AB28" s="235">
        <v>-7.9744944945756624E-2</v>
      </c>
    </row>
    <row r="29" spans="2:28">
      <c r="B29" s="233" t="s">
        <v>163</v>
      </c>
      <c r="C29" s="237">
        <v>0.83</v>
      </c>
      <c r="D29" s="235">
        <v>-9.0670875190022419E-3</v>
      </c>
      <c r="F29" s="233" t="s">
        <v>168</v>
      </c>
      <c r="G29" s="237">
        <v>0.69</v>
      </c>
      <c r="H29" s="235">
        <v>-8.4822780654003366E-4</v>
      </c>
      <c r="J29" s="233" t="s">
        <v>181</v>
      </c>
      <c r="K29" s="238">
        <v>-1.5</v>
      </c>
      <c r="L29" s="235">
        <v>-0.22372152820129954</v>
      </c>
      <c r="N29" s="233" t="s">
        <v>161</v>
      </c>
      <c r="O29" s="237">
        <v>0.33</v>
      </c>
      <c r="P29" s="235">
        <v>-0.1186472848442244</v>
      </c>
      <c r="R29" s="233" t="s">
        <v>148</v>
      </c>
      <c r="S29" s="238">
        <v>-1.08</v>
      </c>
      <c r="T29" s="235">
        <v>-9.471939604598445E-2</v>
      </c>
      <c r="V29" s="233" t="s">
        <v>171</v>
      </c>
      <c r="W29" s="237">
        <v>-0.47</v>
      </c>
      <c r="X29" s="235">
        <v>0.15859706937869145</v>
      </c>
      <c r="Z29" s="233" t="s">
        <v>181</v>
      </c>
      <c r="AA29" s="238">
        <v>-1.64</v>
      </c>
      <c r="AB29" s="235">
        <v>-0.17577911114503805</v>
      </c>
    </row>
    <row r="30" spans="2:28">
      <c r="B30" s="233" t="s">
        <v>169</v>
      </c>
      <c r="C30" s="237">
        <v>0.55000000000000004</v>
      </c>
      <c r="D30" s="235">
        <v>-9.2094012619709481E-2</v>
      </c>
      <c r="F30" s="233" t="s">
        <v>177</v>
      </c>
      <c r="G30" s="237">
        <v>0.63</v>
      </c>
      <c r="H30" s="235">
        <v>-0.17257427630712605</v>
      </c>
      <c r="J30" s="233" t="s">
        <v>159</v>
      </c>
      <c r="K30" s="238">
        <v>-1.5</v>
      </c>
      <c r="L30" s="235">
        <v>-8.4875103229122686E-2</v>
      </c>
      <c r="N30" s="233" t="s">
        <v>167</v>
      </c>
      <c r="O30" s="237">
        <v>0.04</v>
      </c>
      <c r="P30" s="235">
        <v>0.28977817005643558</v>
      </c>
      <c r="R30" s="233" t="s">
        <v>163</v>
      </c>
      <c r="S30" s="238">
        <v>-1.0900000000000001</v>
      </c>
      <c r="T30" s="235">
        <v>-6.7500224777585452E-2</v>
      </c>
      <c r="V30" s="233" t="s">
        <v>173</v>
      </c>
      <c r="W30" s="237">
        <v>-0.54</v>
      </c>
      <c r="X30" s="235">
        <v>0.11152681802558258</v>
      </c>
      <c r="Z30" s="233" t="s">
        <v>178</v>
      </c>
      <c r="AA30" s="238">
        <v>-1.85</v>
      </c>
      <c r="AB30" s="235">
        <v>-0.12409240180123472</v>
      </c>
    </row>
    <row r="31" spans="2:28">
      <c r="B31" s="233" t="s">
        <v>160</v>
      </c>
      <c r="C31" s="237">
        <v>0.39</v>
      </c>
      <c r="D31" s="235">
        <v>-3.5280828450061731E-2</v>
      </c>
      <c r="F31" s="233" t="s">
        <v>174</v>
      </c>
      <c r="G31" s="237">
        <v>0.52</v>
      </c>
      <c r="H31" s="235">
        <v>-6.4616170228765396E-2</v>
      </c>
      <c r="J31" s="233" t="s">
        <v>174</v>
      </c>
      <c r="K31" s="238">
        <v>-1.85</v>
      </c>
      <c r="L31" s="235">
        <v>-0.12425170861723242</v>
      </c>
      <c r="N31" s="233" t="s">
        <v>178</v>
      </c>
      <c r="O31" s="237">
        <v>0.02</v>
      </c>
      <c r="P31" s="235">
        <v>4.6388279052738131E-2</v>
      </c>
      <c r="R31" s="233" t="s">
        <v>179</v>
      </c>
      <c r="S31" s="238">
        <v>-1.33</v>
      </c>
      <c r="T31" s="235">
        <v>-0.15732281914173815</v>
      </c>
      <c r="V31" s="233" t="s">
        <v>175</v>
      </c>
      <c r="W31" s="237">
        <v>-0.57999999999999996</v>
      </c>
      <c r="X31" s="235">
        <v>4.6913684560162851E-2</v>
      </c>
      <c r="Z31" s="233" t="s">
        <v>161</v>
      </c>
      <c r="AA31" s="238">
        <v>-1.92</v>
      </c>
      <c r="AB31" s="235">
        <v>-7.134979224876635E-2</v>
      </c>
    </row>
    <row r="32" spans="2:28">
      <c r="B32" s="233" t="s">
        <v>177</v>
      </c>
      <c r="C32" s="237">
        <v>0.05</v>
      </c>
      <c r="D32" s="235">
        <v>-0.15531969573277854</v>
      </c>
      <c r="F32" s="233" t="s">
        <v>170</v>
      </c>
      <c r="G32" s="237">
        <v>0.34</v>
      </c>
      <c r="H32" s="235">
        <v>-9.3948531205804417E-2</v>
      </c>
      <c r="J32" s="233" t="s">
        <v>165</v>
      </c>
      <c r="K32" s="238">
        <v>-1.95</v>
      </c>
      <c r="L32" s="235">
        <v>-0.40171574231604429</v>
      </c>
      <c r="N32" s="233" t="s">
        <v>179</v>
      </c>
      <c r="O32" s="237">
        <v>-0.11</v>
      </c>
      <c r="P32" s="235">
        <v>0.24497788016217667</v>
      </c>
      <c r="R32" s="233" t="s">
        <v>173</v>
      </c>
      <c r="S32" s="238">
        <v>-1.37</v>
      </c>
      <c r="T32" s="235">
        <v>-5.6818551765678939E-2</v>
      </c>
      <c r="V32" s="233" t="s">
        <v>174</v>
      </c>
      <c r="W32" s="237">
        <v>-0.84</v>
      </c>
      <c r="X32" s="235">
        <v>-0.18669448310896197</v>
      </c>
      <c r="Z32" s="233" t="s">
        <v>180</v>
      </c>
      <c r="AA32" s="239">
        <v>-2.61</v>
      </c>
      <c r="AB32" s="235">
        <v>-0.22653338467831741</v>
      </c>
    </row>
    <row r="33" spans="2:28">
      <c r="B33" s="233" t="s">
        <v>158</v>
      </c>
      <c r="C33" s="237">
        <v>0.02</v>
      </c>
      <c r="D33" s="235">
        <v>-4.8129776951473413E-2</v>
      </c>
      <c r="F33" s="233" t="s">
        <v>166</v>
      </c>
      <c r="G33" s="237">
        <v>0.15</v>
      </c>
      <c r="H33" s="235">
        <v>-0.29306446899638927</v>
      </c>
      <c r="J33" s="233" t="s">
        <v>161</v>
      </c>
      <c r="K33" s="239">
        <v>-2.54</v>
      </c>
      <c r="L33" s="235">
        <v>-0.24799759962434093</v>
      </c>
      <c r="N33" s="233" t="s">
        <v>181</v>
      </c>
      <c r="O33" s="237">
        <v>-0.42</v>
      </c>
      <c r="P33" s="235">
        <v>-0.15953029414360798</v>
      </c>
      <c r="R33" s="233" t="s">
        <v>158</v>
      </c>
      <c r="S33" s="238">
        <v>-1.52</v>
      </c>
      <c r="T33" s="235">
        <v>-3.2082727432592814E-2</v>
      </c>
      <c r="V33" s="233" t="s">
        <v>176</v>
      </c>
      <c r="W33" s="237">
        <v>-0.97</v>
      </c>
      <c r="X33" s="235">
        <v>-0.21222568840126468</v>
      </c>
      <c r="Z33" s="233" t="s">
        <v>175</v>
      </c>
      <c r="AA33" s="239">
        <v>-2.84</v>
      </c>
      <c r="AB33" s="235">
        <v>-0.16046684497838407</v>
      </c>
    </row>
    <row r="34" spans="2:28">
      <c r="B34" s="233" t="s">
        <v>179</v>
      </c>
      <c r="C34" s="237">
        <v>-0.04</v>
      </c>
      <c r="D34" s="235">
        <v>-8.4678234584991366E-2</v>
      </c>
      <c r="F34" s="233" t="s">
        <v>179</v>
      </c>
      <c r="G34" s="237">
        <v>-0.03</v>
      </c>
      <c r="H34" s="235">
        <v>-0.30698352077723046</v>
      </c>
      <c r="J34" s="233" t="s">
        <v>178</v>
      </c>
      <c r="K34" s="239">
        <v>-2.84</v>
      </c>
      <c r="L34" s="235">
        <v>-0.27324899680186326</v>
      </c>
      <c r="N34" s="233" t="s">
        <v>177</v>
      </c>
      <c r="O34" s="237">
        <v>-0.71</v>
      </c>
      <c r="P34" s="235">
        <v>-0.18536421875041362</v>
      </c>
      <c r="R34" s="233" t="s">
        <v>177</v>
      </c>
      <c r="S34" s="238">
        <v>-1.81</v>
      </c>
      <c r="T34" s="235">
        <v>-0.4197706426668385</v>
      </c>
      <c r="V34" s="233" t="s">
        <v>179</v>
      </c>
      <c r="W34" s="237">
        <v>-0.98</v>
      </c>
      <c r="X34" s="235">
        <v>-0.4418769723079215</v>
      </c>
      <c r="Z34" s="233" t="s">
        <v>169</v>
      </c>
      <c r="AA34" s="239">
        <v>-2.89</v>
      </c>
      <c r="AB34" s="235">
        <v>-0.13405862809578897</v>
      </c>
    </row>
    <row r="35" spans="2:28">
      <c r="B35" s="233" t="s">
        <v>156</v>
      </c>
      <c r="C35" s="237">
        <v>-0.1</v>
      </c>
      <c r="D35" s="235">
        <v>-0.14950600509597581</v>
      </c>
      <c r="F35" s="233" t="s">
        <v>164</v>
      </c>
      <c r="G35" s="237">
        <v>-0.49</v>
      </c>
      <c r="H35" s="235">
        <v>-0.18023755486221066</v>
      </c>
      <c r="J35" s="233" t="s">
        <v>171</v>
      </c>
      <c r="K35" s="239">
        <v>-3.15</v>
      </c>
      <c r="L35" s="235">
        <v>-0.21571890688211648</v>
      </c>
      <c r="N35" s="233" t="s">
        <v>168</v>
      </c>
      <c r="O35" s="237">
        <v>-0.76</v>
      </c>
      <c r="P35" s="235">
        <v>-0.21416111218326414</v>
      </c>
      <c r="R35" s="233" t="s">
        <v>164</v>
      </c>
      <c r="S35" s="239">
        <v>-2.37</v>
      </c>
      <c r="T35" s="235">
        <v>-0.3208748727927716</v>
      </c>
      <c r="V35" s="233" t="s">
        <v>181</v>
      </c>
      <c r="W35" s="238">
        <v>-1.04</v>
      </c>
      <c r="X35" s="235">
        <v>-0.22401077422253754</v>
      </c>
      <c r="Z35" s="233" t="s">
        <v>170</v>
      </c>
      <c r="AA35" s="239">
        <v>-2.97</v>
      </c>
      <c r="AB35" s="235">
        <v>-0.22898845516223268</v>
      </c>
    </row>
    <row r="36" spans="2:28">
      <c r="B36" s="233" t="s">
        <v>181</v>
      </c>
      <c r="C36" s="238">
        <v>-1.1200000000000001</v>
      </c>
      <c r="D36" s="235">
        <v>-0.21201357237663598</v>
      </c>
      <c r="F36" s="233" t="s">
        <v>173</v>
      </c>
      <c r="G36" s="238">
        <v>-1.1299999999999999</v>
      </c>
      <c r="H36" s="235">
        <v>-0.1971281508192877</v>
      </c>
      <c r="J36" s="233" t="s">
        <v>176</v>
      </c>
      <c r="K36" s="239">
        <v>-3.15</v>
      </c>
      <c r="L36" s="235">
        <v>-0.27796514936529876</v>
      </c>
      <c r="N36" s="233" t="s">
        <v>165</v>
      </c>
      <c r="O36" s="237">
        <v>-0.76</v>
      </c>
      <c r="P36" s="235">
        <v>-7.9142356942481049E-2</v>
      </c>
      <c r="R36" s="233" t="s">
        <v>159</v>
      </c>
      <c r="S36" s="239">
        <v>-3.23</v>
      </c>
      <c r="T36" s="235">
        <v>-0.27920360705007063</v>
      </c>
      <c r="V36" s="233" t="s">
        <v>157</v>
      </c>
      <c r="W36" s="238">
        <v>-1.59</v>
      </c>
      <c r="X36" s="235">
        <v>-0.26171705623198327</v>
      </c>
      <c r="Z36" s="233" t="s">
        <v>176</v>
      </c>
      <c r="AA36" s="239">
        <v>-4.1399999999999997</v>
      </c>
      <c r="AB36" s="235">
        <v>-0.1689218887830031</v>
      </c>
    </row>
    <row r="42" spans="2:28" ht="24.75" customHeight="1">
      <c r="B42" s="270" t="s">
        <v>191</v>
      </c>
      <c r="C42" s="269" t="s">
        <v>182</v>
      </c>
      <c r="D42" s="269"/>
      <c r="G42" s="269" t="s">
        <v>183</v>
      </c>
      <c r="H42" s="269"/>
      <c r="K42" s="271" t="s">
        <v>184</v>
      </c>
      <c r="L42" s="272"/>
      <c r="O42" s="269" t="s">
        <v>185</v>
      </c>
      <c r="P42" s="269"/>
      <c r="S42" s="269" t="s">
        <v>186</v>
      </c>
      <c r="T42" s="269"/>
      <c r="W42" s="269" t="s">
        <v>187</v>
      </c>
      <c r="X42" s="269"/>
      <c r="AA42" s="269" t="s">
        <v>188</v>
      </c>
      <c r="AB42" s="269"/>
    </row>
    <row r="43" spans="2:28" ht="25.5" customHeight="1">
      <c r="B43" s="270"/>
      <c r="C43" s="240" t="s">
        <v>189</v>
      </c>
      <c r="D43" s="241" t="s">
        <v>190</v>
      </c>
      <c r="G43" s="240" t="s">
        <v>189</v>
      </c>
      <c r="H43" s="241" t="s">
        <v>190</v>
      </c>
      <c r="K43" s="240" t="s">
        <v>189</v>
      </c>
      <c r="L43" s="241" t="s">
        <v>190</v>
      </c>
      <c r="O43" s="240" t="s">
        <v>189</v>
      </c>
      <c r="P43" s="241" t="s">
        <v>190</v>
      </c>
      <c r="S43" s="240" t="s">
        <v>189</v>
      </c>
      <c r="T43" s="241" t="s">
        <v>190</v>
      </c>
      <c r="W43" s="240" t="s">
        <v>189</v>
      </c>
      <c r="X43" s="241" t="s">
        <v>190</v>
      </c>
      <c r="AA43" s="240" t="s">
        <v>189</v>
      </c>
      <c r="AB43" s="241" t="s">
        <v>190</v>
      </c>
    </row>
    <row r="44" spans="2:28">
      <c r="B44" s="233" t="s">
        <v>155</v>
      </c>
      <c r="C44" s="234">
        <v>2.5499999999999998</v>
      </c>
      <c r="D44" s="235">
        <v>0.18878654268058903</v>
      </c>
      <c r="F44" s="233" t="s">
        <v>155</v>
      </c>
      <c r="G44" s="234">
        <v>2.2799999999999998</v>
      </c>
      <c r="H44" s="235">
        <v>0.10183355429881318</v>
      </c>
      <c r="J44" s="233" t="s">
        <v>155</v>
      </c>
      <c r="K44" s="237">
        <v>-0.54</v>
      </c>
      <c r="L44" s="235">
        <v>-5.3900014565720189E-2</v>
      </c>
      <c r="N44" s="233" t="s">
        <v>155</v>
      </c>
      <c r="O44" s="236">
        <v>1.07</v>
      </c>
      <c r="P44" s="235">
        <v>0.14193828195412719</v>
      </c>
      <c r="R44" s="233" t="s">
        <v>155</v>
      </c>
      <c r="S44" s="237">
        <v>0.86</v>
      </c>
      <c r="T44" s="235">
        <v>0.30779225318148196</v>
      </c>
      <c r="V44" s="233" t="s">
        <v>155</v>
      </c>
      <c r="W44" s="234">
        <v>5.46</v>
      </c>
      <c r="X44" s="235">
        <v>0.62947993054352902</v>
      </c>
      <c r="Z44" s="233" t="s">
        <v>155</v>
      </c>
      <c r="AA44" s="238">
        <v>-1.03</v>
      </c>
      <c r="AB44" s="235">
        <v>-1.3436288272298232E-2</v>
      </c>
    </row>
    <row r="45" spans="2:28">
      <c r="B45" s="233" t="s">
        <v>148</v>
      </c>
      <c r="C45" s="234">
        <v>4.03</v>
      </c>
      <c r="D45" s="235">
        <v>0.2638674275504127</v>
      </c>
      <c r="F45" s="233" t="s">
        <v>148</v>
      </c>
      <c r="G45" s="236">
        <v>1.49</v>
      </c>
      <c r="H45" s="235">
        <v>3.391250350980779E-2</v>
      </c>
      <c r="J45" s="233" t="s">
        <v>148</v>
      </c>
      <c r="K45" s="236">
        <v>1.06</v>
      </c>
      <c r="L45" s="235">
        <v>0.11811472211005161</v>
      </c>
      <c r="N45" s="233" t="s">
        <v>148</v>
      </c>
      <c r="O45" s="234">
        <v>2.5099999999999998</v>
      </c>
      <c r="P45" s="235">
        <v>0.157181976885237</v>
      </c>
      <c r="R45" s="233" t="s">
        <v>148</v>
      </c>
      <c r="S45" s="238">
        <v>-1.08</v>
      </c>
      <c r="T45" s="235">
        <v>-9.471939604598445E-2</v>
      </c>
      <c r="V45" s="233" t="s">
        <v>148</v>
      </c>
      <c r="W45" s="234">
        <v>10.09</v>
      </c>
      <c r="X45" s="235">
        <v>0.67336235488182594</v>
      </c>
      <c r="Z45" s="233" t="s">
        <v>148</v>
      </c>
      <c r="AA45" s="236">
        <v>1.7</v>
      </c>
      <c r="AB45" s="235">
        <v>0.30054396624379698</v>
      </c>
    </row>
    <row r="46" spans="2:28">
      <c r="B46" s="233" t="s">
        <v>159</v>
      </c>
      <c r="C46" s="234">
        <v>2.19</v>
      </c>
      <c r="D46" s="235">
        <v>7.3904777939782354E-2</v>
      </c>
      <c r="F46" s="233" t="s">
        <v>159</v>
      </c>
      <c r="G46" s="236">
        <v>1.76</v>
      </c>
      <c r="H46" s="235">
        <v>5.613445835646165E-2</v>
      </c>
      <c r="J46" s="233" t="s">
        <v>159</v>
      </c>
      <c r="K46" s="238">
        <v>-1.5</v>
      </c>
      <c r="L46" s="235">
        <v>-8.4875103229122686E-2</v>
      </c>
      <c r="N46" s="233" t="s">
        <v>159</v>
      </c>
      <c r="O46" s="237">
        <v>0.63</v>
      </c>
      <c r="P46" s="235">
        <v>-2.9203605398588336E-2</v>
      </c>
      <c r="R46" s="233" t="s">
        <v>159</v>
      </c>
      <c r="S46" s="239">
        <v>-3.23</v>
      </c>
      <c r="T46" s="235">
        <v>-0.27920360705007063</v>
      </c>
      <c r="V46" s="233" t="s">
        <v>159</v>
      </c>
      <c r="W46" s="234">
        <v>3.8</v>
      </c>
      <c r="X46" s="235">
        <v>0.27301172066220297</v>
      </c>
      <c r="Z46" s="233" t="s">
        <v>159</v>
      </c>
      <c r="AA46" s="237">
        <v>-0.37</v>
      </c>
      <c r="AB46" s="235">
        <v>7.7766110882644249E-2</v>
      </c>
    </row>
    <row r="47" spans="2:28">
      <c r="B47" s="233" t="s">
        <v>168</v>
      </c>
      <c r="C47" s="234">
        <v>2.17</v>
      </c>
      <c r="D47" s="235">
        <v>9.0474244171942136E-2</v>
      </c>
      <c r="F47" s="233" t="s">
        <v>168</v>
      </c>
      <c r="G47" s="237">
        <v>0.69</v>
      </c>
      <c r="H47" s="235">
        <v>-8.4822780654003366E-4</v>
      </c>
      <c r="J47" s="233" t="s">
        <v>168</v>
      </c>
      <c r="K47" s="234">
        <v>5.28</v>
      </c>
      <c r="L47" s="235">
        <v>0.48237790201793346</v>
      </c>
      <c r="N47" s="233" t="s">
        <v>168</v>
      </c>
      <c r="O47" s="237">
        <v>-0.76</v>
      </c>
      <c r="P47" s="235">
        <v>-0.21416111218326414</v>
      </c>
      <c r="R47" s="233" t="s">
        <v>168</v>
      </c>
      <c r="S47" s="237">
        <v>-0.14000000000000001</v>
      </c>
      <c r="T47" s="235">
        <v>-0.24321672700198324</v>
      </c>
      <c r="V47" s="233" t="s">
        <v>168</v>
      </c>
      <c r="W47" s="237">
        <v>0.57999999999999996</v>
      </c>
      <c r="X47" s="235">
        <v>-0.11476611599385279</v>
      </c>
      <c r="Z47" s="233" t="s">
        <v>168</v>
      </c>
      <c r="AA47" s="238">
        <v>-1.47</v>
      </c>
      <c r="AB47" s="235">
        <v>-6.4059870537146596E-2</v>
      </c>
    </row>
    <row r="48" spans="2:28">
      <c r="B48" s="233" t="s">
        <v>176</v>
      </c>
      <c r="C48" s="234">
        <v>3.94</v>
      </c>
      <c r="D48" s="235">
        <v>0.2360282145795656</v>
      </c>
      <c r="F48" s="233" t="s">
        <v>176</v>
      </c>
      <c r="G48" s="236">
        <v>1.35</v>
      </c>
      <c r="H48" s="235">
        <v>-3.3892894011310452E-3</v>
      </c>
      <c r="J48" s="233" t="s">
        <v>176</v>
      </c>
      <c r="K48" s="239">
        <v>-3.15</v>
      </c>
      <c r="L48" s="235">
        <v>-0.27796514936529876</v>
      </c>
      <c r="N48" s="233" t="s">
        <v>176</v>
      </c>
      <c r="O48" s="237">
        <v>0.52</v>
      </c>
      <c r="P48" s="235">
        <v>-9.5257409577123489E-2</v>
      </c>
      <c r="R48" s="233" t="s">
        <v>176</v>
      </c>
      <c r="S48" s="237">
        <v>0.09</v>
      </c>
      <c r="T48" s="235">
        <v>-0.14297129015095467</v>
      </c>
      <c r="V48" s="233" t="s">
        <v>176</v>
      </c>
      <c r="W48" s="237">
        <v>-0.97</v>
      </c>
      <c r="X48" s="235">
        <v>-0.21222568840126468</v>
      </c>
      <c r="Z48" s="233" t="s">
        <v>176</v>
      </c>
      <c r="AA48" s="239">
        <v>-4.1399999999999997</v>
      </c>
      <c r="AB48" s="235">
        <v>-0.1689218887830031</v>
      </c>
    </row>
    <row r="51" spans="2:6" ht="36.75" customHeight="1">
      <c r="B51" s="270" t="s">
        <v>191</v>
      </c>
      <c r="C51" s="242" t="s">
        <v>182</v>
      </c>
      <c r="D51" s="242" t="s">
        <v>183</v>
      </c>
      <c r="E51" s="242" t="s">
        <v>184</v>
      </c>
      <c r="F51" s="242" t="s">
        <v>185</v>
      </c>
    </row>
    <row r="52" spans="2:6" ht="22.5">
      <c r="B52" s="270"/>
      <c r="C52" s="241" t="s">
        <v>190</v>
      </c>
      <c r="D52" s="241" t="s">
        <v>190</v>
      </c>
      <c r="E52" s="241" t="s">
        <v>190</v>
      </c>
      <c r="F52" s="241" t="s">
        <v>190</v>
      </c>
    </row>
    <row r="53" spans="2:6">
      <c r="B53" s="233" t="s">
        <v>155</v>
      </c>
      <c r="C53" s="235">
        <v>0.18878654268058903</v>
      </c>
      <c r="D53" s="235">
        <v>0.10183355429881318</v>
      </c>
      <c r="E53" s="235">
        <v>-5.3900014565720189E-2</v>
      </c>
      <c r="F53" s="235">
        <v>0.14193828195412719</v>
      </c>
    </row>
    <row r="54" spans="2:6">
      <c r="B54" s="233" t="s">
        <v>148</v>
      </c>
      <c r="C54" s="235">
        <v>0.2638674275504127</v>
      </c>
      <c r="D54" s="235">
        <v>3.391250350980779E-2</v>
      </c>
      <c r="E54" s="235">
        <v>0.11811472211005161</v>
      </c>
      <c r="F54" s="235">
        <v>0.157181976885237</v>
      </c>
    </row>
    <row r="55" spans="2:6">
      <c r="B55" s="233" t="s">
        <v>159</v>
      </c>
      <c r="C55" s="235">
        <v>7.3904777939782354E-2</v>
      </c>
      <c r="D55" s="235">
        <v>5.613445835646165E-2</v>
      </c>
      <c r="E55" s="235">
        <v>-8.4875103229122686E-2</v>
      </c>
      <c r="F55" s="235">
        <v>-2.9203605398588336E-2</v>
      </c>
    </row>
    <row r="56" spans="2:6">
      <c r="B56" s="233" t="s">
        <v>168</v>
      </c>
      <c r="C56" s="235">
        <v>9.0474244171942136E-2</v>
      </c>
      <c r="D56" s="235">
        <v>-8.4822780654003366E-4</v>
      </c>
      <c r="E56" s="235">
        <v>0.48237790201793346</v>
      </c>
      <c r="F56" s="235">
        <v>-0.21416111218326414</v>
      </c>
    </row>
    <row r="57" spans="2:6">
      <c r="B57" s="233" t="s">
        <v>176</v>
      </c>
      <c r="C57" s="235">
        <v>0.2360282145795656</v>
      </c>
      <c r="D57" s="235">
        <v>-3.3892894011310452E-3</v>
      </c>
      <c r="E57" s="235">
        <v>-0.27796514936529876</v>
      </c>
      <c r="F57" s="235">
        <v>-9.5257409577123489E-2</v>
      </c>
    </row>
  </sheetData>
  <mergeCells count="16">
    <mergeCell ref="W42:X42"/>
    <mergeCell ref="AA42:AB42"/>
    <mergeCell ref="B42:B43"/>
    <mergeCell ref="B51:B52"/>
    <mergeCell ref="W1:X1"/>
    <mergeCell ref="AA1:AB1"/>
    <mergeCell ref="C42:D42"/>
    <mergeCell ref="G42:H42"/>
    <mergeCell ref="K42:L42"/>
    <mergeCell ref="O42:P42"/>
    <mergeCell ref="S42:T42"/>
    <mergeCell ref="C1:D1"/>
    <mergeCell ref="G1:H1"/>
    <mergeCell ref="K1:L1"/>
    <mergeCell ref="O1:P1"/>
    <mergeCell ref="S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"/>
  <sheetViews>
    <sheetView zoomScale="95" zoomScaleNormal="95" workbookViewId="0">
      <selection activeCell="F4" sqref="F4"/>
    </sheetView>
  </sheetViews>
  <sheetFormatPr baseColWidth="10" defaultRowHeight="12"/>
  <cols>
    <col min="1" max="1" width="14.42578125" style="1" customWidth="1"/>
    <col min="2" max="2" width="14.140625" style="1" customWidth="1"/>
    <col min="3" max="3" width="16.28515625" style="1" customWidth="1"/>
    <col min="4" max="5" width="16.5703125" style="1" customWidth="1"/>
    <col min="6" max="6" width="18" style="1" customWidth="1"/>
    <col min="7" max="16384" width="11.42578125" style="1"/>
  </cols>
  <sheetData>
    <row r="1" spans="1:6">
      <c r="A1" s="13"/>
      <c r="B1" s="14">
        <v>2006</v>
      </c>
      <c r="C1" s="14">
        <v>2010</v>
      </c>
      <c r="D1" s="14">
        <v>2013</v>
      </c>
      <c r="E1" s="14">
        <v>2014</v>
      </c>
      <c r="F1" s="15" t="s">
        <v>51</v>
      </c>
    </row>
    <row r="2" spans="1:6">
      <c r="A2" s="16" t="s">
        <v>19</v>
      </c>
      <c r="B2" s="17">
        <v>1031464299.4301184</v>
      </c>
      <c r="C2" s="17">
        <v>1506591059.3460348</v>
      </c>
      <c r="D2" s="17">
        <v>1902595610.7293208</v>
      </c>
      <c r="E2" s="17">
        <v>1985299012.5138412</v>
      </c>
      <c r="F2" s="18">
        <v>2130063994</v>
      </c>
    </row>
    <row r="3" spans="1:6" ht="12.75" thickBot="1">
      <c r="A3" s="19" t="s">
        <v>20</v>
      </c>
      <c r="B3" s="26">
        <v>100</v>
      </c>
      <c r="C3" s="27">
        <f>(C2*100)/$B$2</f>
        <v>146.06332571843959</v>
      </c>
      <c r="D3" s="27">
        <f>(D2*100)/$B$2</f>
        <v>184.45578889938315</v>
      </c>
      <c r="E3" s="27">
        <f>(E2*100)/$B$2</f>
        <v>192.47384651225585</v>
      </c>
      <c r="F3" s="28">
        <f>(F2*100)/$B$2</f>
        <v>206.50874636929802</v>
      </c>
    </row>
    <row r="4" spans="1:6">
      <c r="F4" s="59">
        <f>+F2/E2</f>
        <v>1.0729184775561105</v>
      </c>
    </row>
    <row r="5" spans="1:6">
      <c r="F5" s="58"/>
    </row>
    <row r="6" spans="1:6">
      <c r="F6" s="2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95" zoomScaleNormal="95" workbookViewId="0">
      <selection activeCell="A2" sqref="A2"/>
    </sheetView>
  </sheetViews>
  <sheetFormatPr baseColWidth="10" defaultRowHeight="1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N67"/>
  <sheetViews>
    <sheetView topLeftCell="A28" zoomScale="95" zoomScaleNormal="95" workbookViewId="0">
      <selection activeCell="I24" sqref="I24"/>
    </sheetView>
  </sheetViews>
  <sheetFormatPr baseColWidth="10" defaultRowHeight="15"/>
  <cols>
    <col min="1" max="1" width="4.7109375" customWidth="1"/>
    <col min="2" max="2" width="23.7109375" customWidth="1"/>
    <col min="3" max="12" width="14.7109375" customWidth="1"/>
    <col min="13" max="13" width="18.28515625" customWidth="1"/>
  </cols>
  <sheetData>
    <row r="2" spans="2:14" ht="48">
      <c r="B2" s="33"/>
      <c r="C2" s="2" t="s">
        <v>16</v>
      </c>
      <c r="D2" s="2" t="s">
        <v>74</v>
      </c>
      <c r="E2" s="2" t="s">
        <v>21</v>
      </c>
      <c r="F2" s="2" t="s">
        <v>75</v>
      </c>
      <c r="G2" s="2" t="s">
        <v>22</v>
      </c>
      <c r="H2" s="2" t="s">
        <v>76</v>
      </c>
      <c r="I2" s="2" t="s">
        <v>17</v>
      </c>
      <c r="J2" s="2" t="s">
        <v>77</v>
      </c>
      <c r="K2" s="2" t="s">
        <v>28</v>
      </c>
      <c r="L2" s="2" t="s">
        <v>53</v>
      </c>
      <c r="M2" s="2" t="s">
        <v>54</v>
      </c>
      <c r="N2" s="2" t="s">
        <v>68</v>
      </c>
    </row>
    <row r="3" spans="2:14">
      <c r="B3" s="3" t="s">
        <v>61</v>
      </c>
      <c r="C3" s="4">
        <v>563888414</v>
      </c>
      <c r="D3" s="5">
        <v>653705819.77447939</v>
      </c>
      <c r="E3" s="35">
        <v>696502494</v>
      </c>
      <c r="F3" s="5">
        <v>784080359.49273968</v>
      </c>
      <c r="G3" s="35">
        <v>759840320</v>
      </c>
      <c r="H3" s="5">
        <v>819084230.00514972</v>
      </c>
      <c r="I3" s="5">
        <v>792694615</v>
      </c>
      <c r="J3" s="5">
        <v>842011756.88521254</v>
      </c>
      <c r="K3" s="5">
        <v>827371506</v>
      </c>
      <c r="L3" s="5">
        <v>853046023.2288444</v>
      </c>
      <c r="M3" s="5">
        <v>873948314</v>
      </c>
      <c r="N3" s="49">
        <f>(M3-L3)/L3</f>
        <v>2.4503121991049003E-2</v>
      </c>
    </row>
    <row r="4" spans="2:14">
      <c r="B4" s="3" t="s">
        <v>65</v>
      </c>
      <c r="C4" s="38">
        <v>159616987</v>
      </c>
      <c r="D4" s="5">
        <v>185041137.12250775</v>
      </c>
      <c r="E4" s="34">
        <v>178223032</v>
      </c>
      <c r="F4" s="5">
        <v>200632704.4113155</v>
      </c>
      <c r="G4" s="35">
        <v>192603757</v>
      </c>
      <c r="H4" s="5">
        <v>207620859.07529095</v>
      </c>
      <c r="I4" s="5">
        <v>214497712</v>
      </c>
      <c r="J4" s="5">
        <v>227842591.47386581</v>
      </c>
      <c r="K4" s="5">
        <v>233812020</v>
      </c>
      <c r="L4" s="5">
        <v>241067540.27386463</v>
      </c>
      <c r="M4" s="5">
        <v>256205613</v>
      </c>
      <c r="N4" s="49">
        <f t="shared" ref="N4:N14" si="0">(M4-L4)/L4</f>
        <v>6.2795981196546724E-2</v>
      </c>
    </row>
    <row r="5" spans="2:14">
      <c r="B5" s="3" t="s">
        <v>62</v>
      </c>
      <c r="C5" s="5">
        <v>39913868</v>
      </c>
      <c r="D5" s="5">
        <v>46271438.024811693</v>
      </c>
      <c r="E5" s="36">
        <v>41216101</v>
      </c>
      <c r="F5" s="5">
        <v>46398592.348714642</v>
      </c>
      <c r="G5" s="35">
        <v>41897771</v>
      </c>
      <c r="H5" s="5">
        <v>45164493.901122659</v>
      </c>
      <c r="I5" s="5">
        <v>44273690</v>
      </c>
      <c r="J5" s="5">
        <v>47028157.874758951</v>
      </c>
      <c r="K5" s="5">
        <v>45177781</v>
      </c>
      <c r="L5" s="5">
        <v>46579711.944241941</v>
      </c>
      <c r="M5" s="5">
        <v>47703315</v>
      </c>
      <c r="N5" s="49">
        <f t="shared" si="0"/>
        <v>2.412215552348335E-2</v>
      </c>
    </row>
    <row r="6" spans="2:14">
      <c r="B6" s="3" t="s">
        <v>64</v>
      </c>
      <c r="C6" s="5">
        <v>102543779</v>
      </c>
      <c r="D6" s="5">
        <v>118877181.10478511</v>
      </c>
      <c r="E6" s="35">
        <v>112713936</v>
      </c>
      <c r="F6" s="5">
        <v>126886528.36140691</v>
      </c>
      <c r="G6" s="35">
        <v>116732889</v>
      </c>
      <c r="H6" s="5">
        <v>125834423.34679161</v>
      </c>
      <c r="I6" s="5">
        <v>125160080</v>
      </c>
      <c r="J6" s="5">
        <v>132946858.54866537</v>
      </c>
      <c r="K6" s="5">
        <v>129227014</v>
      </c>
      <c r="L6" s="5">
        <v>133237112.45433946</v>
      </c>
      <c r="M6" s="5">
        <v>146359828</v>
      </c>
      <c r="N6" s="49">
        <f t="shared" si="0"/>
        <v>9.8491443592022554E-2</v>
      </c>
    </row>
    <row r="7" spans="2:14">
      <c r="B7" s="3" t="s">
        <v>66</v>
      </c>
      <c r="C7" s="5">
        <v>22209799</v>
      </c>
      <c r="D7" s="5">
        <v>25747425.380372174</v>
      </c>
      <c r="E7" s="36">
        <v>23032515</v>
      </c>
      <c r="F7" s="5">
        <v>25928611.594062604</v>
      </c>
      <c r="G7" s="35">
        <v>24688025</v>
      </c>
      <c r="H7" s="5">
        <v>26612923.025028318</v>
      </c>
      <c r="I7" s="5">
        <v>27632075</v>
      </c>
      <c r="J7" s="5">
        <v>29351192.220643457</v>
      </c>
      <c r="K7" s="5">
        <v>29262499</v>
      </c>
      <c r="L7" s="5">
        <v>30170556.056940202</v>
      </c>
      <c r="M7" s="5">
        <v>34314965</v>
      </c>
      <c r="N7" s="49">
        <f t="shared" si="0"/>
        <v>0.1373660112607189</v>
      </c>
    </row>
    <row r="8" spans="2:14" ht="24">
      <c r="B8" s="3" t="s">
        <v>63</v>
      </c>
      <c r="C8" s="5">
        <v>198472578</v>
      </c>
      <c r="D8" s="5">
        <v>230085733.42357111</v>
      </c>
      <c r="E8" s="36">
        <v>244306921</v>
      </c>
      <c r="F8" s="5">
        <v>275025947.63751751</v>
      </c>
      <c r="G8" s="35">
        <v>268349506</v>
      </c>
      <c r="H8" s="5">
        <v>289272420.41363674</v>
      </c>
      <c r="I8" s="5">
        <v>306692513</v>
      </c>
      <c r="J8" s="5">
        <v>325773250.89394093</v>
      </c>
      <c r="K8" s="5">
        <v>338117442</v>
      </c>
      <c r="L8" s="5">
        <v>348609708.20332974</v>
      </c>
      <c r="M8" s="5">
        <v>379335977</v>
      </c>
      <c r="N8" s="49">
        <f t="shared" si="0"/>
        <v>8.8139452441034397E-2</v>
      </c>
    </row>
    <row r="9" spans="2:14" ht="24">
      <c r="B9" s="3" t="s">
        <v>79</v>
      </c>
      <c r="C9" s="29">
        <v>23968642</v>
      </c>
      <c r="D9" s="29">
        <v>27786420.821001329</v>
      </c>
      <c r="E9" s="39">
        <v>33359217</v>
      </c>
      <c r="F9" s="29">
        <v>37553787.794127136</v>
      </c>
      <c r="G9" s="40">
        <v>28461341</v>
      </c>
      <c r="H9" s="29">
        <v>30680440.303429801</v>
      </c>
      <c r="I9" s="29">
        <v>24412381</v>
      </c>
      <c r="J9" s="29">
        <v>25931186.39460063</v>
      </c>
      <c r="K9" s="29">
        <v>32160950</v>
      </c>
      <c r="L9" s="29">
        <v>33158950.123140574</v>
      </c>
      <c r="M9" s="5">
        <v>31438861</v>
      </c>
      <c r="N9" s="49">
        <f t="shared" si="0"/>
        <v>-5.1874052608806155E-2</v>
      </c>
    </row>
    <row r="10" spans="2:14">
      <c r="B10" s="3" t="s">
        <v>81</v>
      </c>
      <c r="C10" s="29">
        <v>135549646</v>
      </c>
      <c r="D10" s="29">
        <v>157140296.30438635</v>
      </c>
      <c r="E10" s="39">
        <v>145527600</v>
      </c>
      <c r="F10" s="29">
        <v>163826165.60180706</v>
      </c>
      <c r="G10" s="40">
        <v>157822347</v>
      </c>
      <c r="H10" s="29">
        <v>170127580.9766196</v>
      </c>
      <c r="I10" s="29">
        <v>174173422</v>
      </c>
      <c r="J10" s="29">
        <v>185009543.7584492</v>
      </c>
      <c r="K10" s="29">
        <v>197128279</v>
      </c>
      <c r="L10" s="29">
        <v>203245450.49886709</v>
      </c>
      <c r="M10" s="5">
        <v>236142764</v>
      </c>
      <c r="N10" s="49">
        <f t="shared" si="0"/>
        <v>0.16186002402703856</v>
      </c>
    </row>
    <row r="11" spans="2:14">
      <c r="B11" s="3" t="s">
        <v>80</v>
      </c>
      <c r="C11" s="5">
        <v>31530048</v>
      </c>
      <c r="D11" s="5">
        <v>36552224.453699604</v>
      </c>
      <c r="E11" s="36">
        <v>33370483</v>
      </c>
      <c r="F11" s="5">
        <v>37566470.375174791</v>
      </c>
      <c r="G11" s="35">
        <v>37075460</v>
      </c>
      <c r="H11" s="29">
        <v>39966192.641878664</v>
      </c>
      <c r="I11" s="5">
        <v>47100213</v>
      </c>
      <c r="J11" s="29">
        <v>50030531.742413476</v>
      </c>
      <c r="K11" s="5">
        <v>55009605</v>
      </c>
      <c r="L11" s="29">
        <v>56716631.457984433</v>
      </c>
      <c r="M11" s="5">
        <v>62315007</v>
      </c>
      <c r="N11" s="49">
        <f t="shared" si="0"/>
        <v>9.8707828693296654E-2</v>
      </c>
    </row>
    <row r="12" spans="2:14">
      <c r="B12" s="3" t="s">
        <v>67</v>
      </c>
      <c r="C12" s="48">
        <v>0</v>
      </c>
      <c r="D12" s="21">
        <v>0</v>
      </c>
      <c r="E12" s="48">
        <v>0</v>
      </c>
      <c r="F12" s="48">
        <v>0</v>
      </c>
      <c r="G12" s="48">
        <v>0</v>
      </c>
      <c r="H12" s="21">
        <v>0</v>
      </c>
      <c r="I12" s="21">
        <v>683998</v>
      </c>
      <c r="J12" s="21">
        <v>726552.63046787772</v>
      </c>
      <c r="K12" s="21">
        <v>3092118</v>
      </c>
      <c r="L12" s="21">
        <v>3188070.8292779033</v>
      </c>
      <c r="M12" s="21">
        <v>6029069</v>
      </c>
      <c r="N12" s="49">
        <f t="shared" si="0"/>
        <v>0.89113395619431124</v>
      </c>
    </row>
    <row r="13" spans="2:14" ht="24">
      <c r="B13" s="3" t="s">
        <v>69</v>
      </c>
      <c r="C13" s="5">
        <v>21895775</v>
      </c>
      <c r="D13" s="5">
        <v>25383382.936420027</v>
      </c>
      <c r="E13" s="5">
        <v>24944353</v>
      </c>
      <c r="F13" s="5">
        <v>28080843.1212219</v>
      </c>
      <c r="G13" s="35">
        <v>30081292</v>
      </c>
      <c r="H13" s="5">
        <v>32426697.092594493</v>
      </c>
      <c r="I13" s="5">
        <v>33838727</v>
      </c>
      <c r="J13" s="5">
        <v>35943988.306302644</v>
      </c>
      <c r="K13" s="5">
        <v>35187344</v>
      </c>
      <c r="L13" s="5">
        <v>36279257.443010539</v>
      </c>
      <c r="M13" s="5">
        <v>56270281</v>
      </c>
      <c r="N13" s="49">
        <f t="shared" si="0"/>
        <v>0.55103177313903029</v>
      </c>
    </row>
    <row r="14" spans="2:14">
      <c r="B14" s="8" t="s">
        <v>11</v>
      </c>
      <c r="C14" s="9">
        <f t="shared" ref="C14:M14" si="1">SUM(C3:C13)</f>
        <v>1299589536</v>
      </c>
      <c r="D14" s="9">
        <f t="shared" si="1"/>
        <v>1506591059.3460345</v>
      </c>
      <c r="E14" s="9">
        <f t="shared" si="1"/>
        <v>1533196652</v>
      </c>
      <c r="F14" s="9">
        <f t="shared" si="1"/>
        <v>1725980010.7380877</v>
      </c>
      <c r="G14" s="9">
        <f t="shared" si="1"/>
        <v>1657552708</v>
      </c>
      <c r="H14" s="9">
        <f t="shared" si="1"/>
        <v>1786790260.7815421</v>
      </c>
      <c r="I14" s="9">
        <f t="shared" si="1"/>
        <v>1791159426</v>
      </c>
      <c r="J14" s="10">
        <f t="shared" si="1"/>
        <v>1902595610.729321</v>
      </c>
      <c r="K14" s="9">
        <f t="shared" si="1"/>
        <v>1925546558</v>
      </c>
      <c r="L14" s="10">
        <f t="shared" si="1"/>
        <v>1985299012.5138412</v>
      </c>
      <c r="M14" s="10">
        <f t="shared" si="1"/>
        <v>2130063994</v>
      </c>
      <c r="N14" s="49">
        <f t="shared" si="0"/>
        <v>7.2918477556110486E-2</v>
      </c>
    </row>
    <row r="16" spans="2:14">
      <c r="C16" s="47"/>
      <c r="D16" s="47"/>
      <c r="E16" s="47"/>
      <c r="F16" s="47"/>
      <c r="G16" s="47"/>
      <c r="H16" s="47"/>
      <c r="I16" s="47"/>
      <c r="J16" s="47"/>
      <c r="K16" s="47"/>
      <c r="L16" s="62" t="s">
        <v>19</v>
      </c>
      <c r="M16" s="62">
        <v>32910062000</v>
      </c>
    </row>
    <row r="17" spans="12:13">
      <c r="L17" s="63"/>
      <c r="M17" s="64">
        <f>+M14/M16</f>
        <v>6.4723791586901294E-2</v>
      </c>
    </row>
    <row r="19" spans="12:13">
      <c r="M19" s="60">
        <f>+M12/M14</f>
        <v>2.8304637874649696E-3</v>
      </c>
    </row>
    <row r="57" spans="2:3" ht="24">
      <c r="B57" s="3" t="s">
        <v>89</v>
      </c>
      <c r="C57" s="21">
        <v>6029069</v>
      </c>
    </row>
    <row r="58" spans="2:3" ht="24">
      <c r="B58" s="3" t="s">
        <v>79</v>
      </c>
      <c r="C58" s="5">
        <v>31438861</v>
      </c>
    </row>
    <row r="59" spans="2:3">
      <c r="B59" s="3" t="s">
        <v>66</v>
      </c>
      <c r="C59" s="5">
        <v>34314965</v>
      </c>
    </row>
    <row r="60" spans="2:3">
      <c r="B60" s="3" t="s">
        <v>62</v>
      </c>
      <c r="C60" s="5">
        <v>47703315</v>
      </c>
    </row>
    <row r="61" spans="2:3" ht="24">
      <c r="B61" s="3" t="s">
        <v>69</v>
      </c>
      <c r="C61" s="5">
        <v>56270281</v>
      </c>
    </row>
    <row r="62" spans="2:3">
      <c r="B62" s="3" t="s">
        <v>80</v>
      </c>
      <c r="C62" s="5">
        <v>62315007</v>
      </c>
    </row>
    <row r="63" spans="2:3">
      <c r="B63" s="3" t="s">
        <v>64</v>
      </c>
      <c r="C63" s="5">
        <v>146359828</v>
      </c>
    </row>
    <row r="64" spans="2:3" ht="24">
      <c r="B64" s="3" t="s">
        <v>90</v>
      </c>
      <c r="C64" s="5">
        <v>236142764</v>
      </c>
    </row>
    <row r="65" spans="2:3">
      <c r="B65" s="3" t="s">
        <v>65</v>
      </c>
      <c r="C65" s="5">
        <v>256205613</v>
      </c>
    </row>
    <row r="66" spans="2:3" ht="24">
      <c r="B66" s="3" t="s">
        <v>63</v>
      </c>
      <c r="C66" s="5">
        <v>379335977</v>
      </c>
    </row>
    <row r="67" spans="2:3">
      <c r="B67" s="3" t="s">
        <v>61</v>
      </c>
      <c r="C67" s="5">
        <v>873948314</v>
      </c>
    </row>
  </sheetData>
  <sortState ref="B57:C67">
    <sortCondition ref="C57:C67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P143"/>
  <sheetViews>
    <sheetView topLeftCell="E1" zoomScale="95" zoomScaleNormal="95" workbookViewId="0">
      <selection activeCell="I22" sqref="I22"/>
    </sheetView>
  </sheetViews>
  <sheetFormatPr baseColWidth="10" defaultRowHeight="15"/>
  <cols>
    <col min="1" max="1" width="1" customWidth="1"/>
    <col min="2" max="2" width="27.7109375" style="74" customWidth="1"/>
    <col min="3" max="16" width="17.140625" style="90" customWidth="1"/>
  </cols>
  <sheetData>
    <row r="2" spans="2:16" ht="36">
      <c r="B2" s="72"/>
      <c r="C2" s="2" t="s">
        <v>16</v>
      </c>
      <c r="D2" s="2" t="s">
        <v>74</v>
      </c>
      <c r="E2" s="2" t="s">
        <v>21</v>
      </c>
      <c r="F2" s="2" t="s">
        <v>75</v>
      </c>
      <c r="G2" s="2" t="s">
        <v>22</v>
      </c>
      <c r="H2" s="2" t="s">
        <v>76</v>
      </c>
      <c r="I2" s="2" t="s">
        <v>17</v>
      </c>
      <c r="J2" s="2" t="s">
        <v>77</v>
      </c>
      <c r="K2" s="2" t="s">
        <v>28</v>
      </c>
      <c r="L2" s="2" t="s">
        <v>53</v>
      </c>
      <c r="M2" s="2" t="s">
        <v>54</v>
      </c>
      <c r="N2" s="2" t="s">
        <v>68</v>
      </c>
      <c r="O2" s="2" t="s">
        <v>15</v>
      </c>
      <c r="P2" s="2" t="s">
        <v>78</v>
      </c>
    </row>
    <row r="3" spans="2:16">
      <c r="B3" s="69" t="s">
        <v>61</v>
      </c>
      <c r="C3" s="75">
        <v>563888414</v>
      </c>
      <c r="D3" s="76">
        <v>653705819.77447939</v>
      </c>
      <c r="E3" s="77">
        <v>696502494</v>
      </c>
      <c r="F3" s="76">
        <v>784080359.49273968</v>
      </c>
      <c r="G3" s="76">
        <v>759840320</v>
      </c>
      <c r="H3" s="76">
        <v>819084230.00514972</v>
      </c>
      <c r="I3" s="76">
        <v>792694615</v>
      </c>
      <c r="J3" s="76">
        <v>842011756.88521254</v>
      </c>
      <c r="K3" s="76">
        <v>827371506</v>
      </c>
      <c r="L3" s="76">
        <v>853046023.2288444</v>
      </c>
      <c r="M3" s="76">
        <v>873948314</v>
      </c>
      <c r="N3" s="78">
        <f>(M3-L3)/L3</f>
        <v>2.4503121991049003E-2</v>
      </c>
      <c r="O3" s="75">
        <v>320930664</v>
      </c>
      <c r="P3" s="76">
        <v>434578867.25682682</v>
      </c>
    </row>
    <row r="4" spans="2:16">
      <c r="B4" s="69" t="s">
        <v>65</v>
      </c>
      <c r="C4" s="79">
        <v>159616987</v>
      </c>
      <c r="D4" s="76">
        <v>185041137.12250775</v>
      </c>
      <c r="E4" s="77">
        <v>178223032</v>
      </c>
      <c r="F4" s="76">
        <v>200632704.4113155</v>
      </c>
      <c r="G4" s="76">
        <v>192603757</v>
      </c>
      <c r="H4" s="76">
        <v>207620859.07529095</v>
      </c>
      <c r="I4" s="76">
        <v>214497712</v>
      </c>
      <c r="J4" s="76">
        <v>227842591.47386581</v>
      </c>
      <c r="K4" s="76">
        <v>233812020</v>
      </c>
      <c r="L4" s="76">
        <v>241067540.27386463</v>
      </c>
      <c r="M4" s="76">
        <v>256205613</v>
      </c>
      <c r="N4" s="78">
        <f t="shared" ref="N4:N14" si="0">(M4-L4)/L4</f>
        <v>6.2795981196546724E-2</v>
      </c>
      <c r="O4" s="79">
        <v>86469013</v>
      </c>
      <c r="P4" s="76">
        <v>117089483.60994209</v>
      </c>
    </row>
    <row r="5" spans="2:16">
      <c r="B5" s="69" t="s">
        <v>62</v>
      </c>
      <c r="C5" s="76">
        <v>39913868</v>
      </c>
      <c r="D5" s="76">
        <v>46271438.024811693</v>
      </c>
      <c r="E5" s="80">
        <v>41216101</v>
      </c>
      <c r="F5" s="76">
        <v>46398592.348714642</v>
      </c>
      <c r="G5" s="76">
        <v>41897771</v>
      </c>
      <c r="H5" s="76">
        <v>45164493.901122659</v>
      </c>
      <c r="I5" s="76">
        <v>44273690</v>
      </c>
      <c r="J5" s="76">
        <v>47028157.874758951</v>
      </c>
      <c r="K5" s="76">
        <v>45177781</v>
      </c>
      <c r="L5" s="76">
        <v>46579711.944241941</v>
      </c>
      <c r="M5" s="76">
        <v>47703315</v>
      </c>
      <c r="N5" s="78">
        <f t="shared" si="0"/>
        <v>2.412215552348335E-2</v>
      </c>
      <c r="O5" s="76">
        <v>29719174</v>
      </c>
      <c r="P5" s="76">
        <v>40243349.799471132</v>
      </c>
    </row>
    <row r="6" spans="2:16">
      <c r="B6" s="69" t="s">
        <v>64</v>
      </c>
      <c r="C6" s="76">
        <v>102543779</v>
      </c>
      <c r="D6" s="76">
        <v>118877181.10478511</v>
      </c>
      <c r="E6" s="76">
        <v>112713936</v>
      </c>
      <c r="F6" s="76">
        <v>126886528.36140691</v>
      </c>
      <c r="G6" s="76">
        <v>116732889</v>
      </c>
      <c r="H6" s="76">
        <v>125834423.34679161</v>
      </c>
      <c r="I6" s="76">
        <v>125160080</v>
      </c>
      <c r="J6" s="76">
        <v>132946858.54866537</v>
      </c>
      <c r="K6" s="76">
        <v>129227014</v>
      </c>
      <c r="L6" s="76">
        <v>133237112.45433946</v>
      </c>
      <c r="M6" s="76">
        <v>146359828</v>
      </c>
      <c r="N6" s="78">
        <f t="shared" si="0"/>
        <v>9.8491443592022554E-2</v>
      </c>
      <c r="O6" s="76">
        <v>77876780</v>
      </c>
      <c r="P6" s="76">
        <v>105454562.72763361</v>
      </c>
    </row>
    <row r="7" spans="2:16">
      <c r="B7" s="69" t="s">
        <v>66</v>
      </c>
      <c r="C7" s="76">
        <v>22209799</v>
      </c>
      <c r="D7" s="76">
        <v>25747425.380372174</v>
      </c>
      <c r="E7" s="80">
        <v>23032515</v>
      </c>
      <c r="F7" s="76">
        <v>25928611.594062604</v>
      </c>
      <c r="G7" s="76">
        <v>24688025</v>
      </c>
      <c r="H7" s="76">
        <v>26612923.025028318</v>
      </c>
      <c r="I7" s="76">
        <v>27632075</v>
      </c>
      <c r="J7" s="76">
        <v>29351192.220643457</v>
      </c>
      <c r="K7" s="76">
        <v>29262499</v>
      </c>
      <c r="L7" s="76">
        <v>30170556.056940202</v>
      </c>
      <c r="M7" s="76">
        <v>34314965</v>
      </c>
      <c r="N7" s="78">
        <f t="shared" si="0"/>
        <v>0.1373660112607189</v>
      </c>
      <c r="O7" s="76">
        <v>9075500</v>
      </c>
      <c r="P7" s="76">
        <v>12289322.748509103</v>
      </c>
    </row>
    <row r="8" spans="2:16" ht="24">
      <c r="B8" s="69" t="s">
        <v>63</v>
      </c>
      <c r="C8" s="76">
        <v>198472578</v>
      </c>
      <c r="D8" s="76">
        <v>230085733.42357111</v>
      </c>
      <c r="E8" s="80">
        <v>244306921</v>
      </c>
      <c r="F8" s="76">
        <v>275025947.63751751</v>
      </c>
      <c r="G8" s="76">
        <v>268349506</v>
      </c>
      <c r="H8" s="76">
        <v>289272420.41363674</v>
      </c>
      <c r="I8" s="76">
        <v>306692513</v>
      </c>
      <c r="J8" s="76">
        <v>325773250.89394093</v>
      </c>
      <c r="K8" s="76">
        <v>338117442</v>
      </c>
      <c r="L8" s="76">
        <v>348609708.20332974</v>
      </c>
      <c r="M8" s="76">
        <v>379335977</v>
      </c>
      <c r="N8" s="78">
        <f t="shared" si="0"/>
        <v>8.8139452441034397E-2</v>
      </c>
      <c r="O8" s="76">
        <v>123395103</v>
      </c>
      <c r="P8" s="76">
        <v>167091867.81472358</v>
      </c>
    </row>
    <row r="9" spans="2:16" ht="24">
      <c r="B9" s="69" t="s">
        <v>79</v>
      </c>
      <c r="C9" s="81">
        <v>23968642</v>
      </c>
      <c r="D9" s="81">
        <v>27786420.821001329</v>
      </c>
      <c r="E9" s="82">
        <v>33359217</v>
      </c>
      <c r="F9" s="81">
        <v>37553787.794127136</v>
      </c>
      <c r="G9" s="81">
        <v>28461341</v>
      </c>
      <c r="H9" s="81">
        <v>30680440.303429801</v>
      </c>
      <c r="I9" s="81">
        <v>24412381</v>
      </c>
      <c r="J9" s="81">
        <v>25931186.39460063</v>
      </c>
      <c r="K9" s="81">
        <v>32160950</v>
      </c>
      <c r="L9" s="81">
        <v>33158950.123140574</v>
      </c>
      <c r="M9" s="76">
        <v>31438861</v>
      </c>
      <c r="N9" s="78">
        <f t="shared" si="0"/>
        <v>-5.1874052608806155E-2</v>
      </c>
      <c r="O9" s="81">
        <v>6969472</v>
      </c>
      <c r="P9" s="81">
        <v>9437506.5610376559</v>
      </c>
    </row>
    <row r="10" spans="2:16">
      <c r="B10" s="69" t="s">
        <v>81</v>
      </c>
      <c r="C10" s="81">
        <v>135549646</v>
      </c>
      <c r="D10" s="81">
        <v>157140296.30438635</v>
      </c>
      <c r="E10" s="82">
        <v>145527600</v>
      </c>
      <c r="F10" s="81">
        <v>163826165.60180706</v>
      </c>
      <c r="G10" s="81">
        <v>157822347</v>
      </c>
      <c r="H10" s="81">
        <v>170127580.9766196</v>
      </c>
      <c r="I10" s="81">
        <v>174173422</v>
      </c>
      <c r="J10" s="81">
        <v>185009543.7584492</v>
      </c>
      <c r="K10" s="81">
        <v>197128279</v>
      </c>
      <c r="L10" s="81">
        <v>203245450.49886709</v>
      </c>
      <c r="M10" s="76">
        <v>236142764</v>
      </c>
      <c r="N10" s="78">
        <f t="shared" si="0"/>
        <v>0.16186002402703856</v>
      </c>
      <c r="O10" s="81">
        <v>81355408</v>
      </c>
      <c r="P10" s="81">
        <v>110165045.03869092</v>
      </c>
    </row>
    <row r="11" spans="2:16">
      <c r="B11" s="69" t="s">
        <v>80</v>
      </c>
      <c r="C11" s="76">
        <v>31530048</v>
      </c>
      <c r="D11" s="76">
        <v>36552224.453699604</v>
      </c>
      <c r="E11" s="80">
        <v>33370483</v>
      </c>
      <c r="F11" s="76">
        <v>37566470.375174791</v>
      </c>
      <c r="G11" s="76">
        <v>37075460</v>
      </c>
      <c r="H11" s="81">
        <v>39966192.641878664</v>
      </c>
      <c r="I11" s="76">
        <v>47100213</v>
      </c>
      <c r="J11" s="81">
        <v>50030531.742413476</v>
      </c>
      <c r="K11" s="76">
        <v>55009605</v>
      </c>
      <c r="L11" s="81">
        <v>56716631.457984433</v>
      </c>
      <c r="M11" s="76">
        <v>62315007</v>
      </c>
      <c r="N11" s="78">
        <f t="shared" si="0"/>
        <v>9.8707828693296654E-2</v>
      </c>
      <c r="O11" s="76">
        <v>13435429</v>
      </c>
      <c r="P11" s="76">
        <v>18193193.019192211</v>
      </c>
    </row>
    <row r="12" spans="2:16">
      <c r="B12" s="69" t="s">
        <v>67</v>
      </c>
      <c r="C12" s="83">
        <v>0</v>
      </c>
      <c r="D12" s="84">
        <v>0</v>
      </c>
      <c r="E12" s="83">
        <v>0</v>
      </c>
      <c r="F12" s="83">
        <v>0</v>
      </c>
      <c r="G12" s="83">
        <v>0</v>
      </c>
      <c r="H12" s="84">
        <v>0</v>
      </c>
      <c r="I12" s="84">
        <v>683998</v>
      </c>
      <c r="J12" s="84">
        <v>726552.63046787772</v>
      </c>
      <c r="K12" s="84">
        <v>3092118</v>
      </c>
      <c r="L12" s="84">
        <v>3188070.8292779033</v>
      </c>
      <c r="M12" s="84">
        <v>6029069</v>
      </c>
      <c r="N12" s="78">
        <f t="shared" si="0"/>
        <v>0.89113395619431124</v>
      </c>
      <c r="O12" s="83">
        <v>0</v>
      </c>
      <c r="P12" s="84">
        <v>0</v>
      </c>
    </row>
    <row r="13" spans="2:16">
      <c r="B13" s="69" t="s">
        <v>69</v>
      </c>
      <c r="C13" s="76">
        <v>21895775</v>
      </c>
      <c r="D13" s="76">
        <v>25383382.936420027</v>
      </c>
      <c r="E13" s="76">
        <v>24944353</v>
      </c>
      <c r="F13" s="76">
        <v>28080843.1212219</v>
      </c>
      <c r="G13" s="76">
        <v>30081292</v>
      </c>
      <c r="H13" s="76">
        <v>32426697.092594493</v>
      </c>
      <c r="I13" s="76">
        <v>33838727</v>
      </c>
      <c r="J13" s="76">
        <v>35943988.306302644</v>
      </c>
      <c r="K13" s="76">
        <v>35187344</v>
      </c>
      <c r="L13" s="76">
        <v>36279257.443010539</v>
      </c>
      <c r="M13" s="76">
        <v>56270281</v>
      </c>
      <c r="N13" s="78">
        <f t="shared" si="0"/>
        <v>0.55103177313903029</v>
      </c>
      <c r="O13" s="76">
        <v>12496006</v>
      </c>
      <c r="P13" s="76">
        <v>16921100.854091372</v>
      </c>
    </row>
    <row r="14" spans="2:16">
      <c r="B14" s="73" t="s">
        <v>11</v>
      </c>
      <c r="C14" s="85">
        <f t="shared" ref="C14:M14" si="1">SUM(C3:C13)</f>
        <v>1299589536</v>
      </c>
      <c r="D14" s="85">
        <f t="shared" si="1"/>
        <v>1506591059.3460345</v>
      </c>
      <c r="E14" s="85">
        <f t="shared" si="1"/>
        <v>1533196652</v>
      </c>
      <c r="F14" s="85">
        <f t="shared" si="1"/>
        <v>1725980010.7380877</v>
      </c>
      <c r="G14" s="85">
        <f t="shared" si="1"/>
        <v>1657552708</v>
      </c>
      <c r="H14" s="85">
        <f t="shared" si="1"/>
        <v>1786790260.7815421</v>
      </c>
      <c r="I14" s="85">
        <f t="shared" si="1"/>
        <v>1791159426</v>
      </c>
      <c r="J14" s="85">
        <f t="shared" si="1"/>
        <v>1902595610.729321</v>
      </c>
      <c r="K14" s="85">
        <f t="shared" si="1"/>
        <v>1925546558</v>
      </c>
      <c r="L14" s="85">
        <f t="shared" si="1"/>
        <v>1985299012.5138412</v>
      </c>
      <c r="M14" s="85">
        <f t="shared" si="1"/>
        <v>2130063994</v>
      </c>
      <c r="N14" s="78">
        <f t="shared" si="0"/>
        <v>7.2918477556110486E-2</v>
      </c>
      <c r="O14" s="85">
        <f t="shared" ref="O14" si="2">SUM(O3:O13)</f>
        <v>761722549</v>
      </c>
      <c r="P14" s="85">
        <f t="shared" ref="P14" si="3">SUM(P3:P13)</f>
        <v>1031464299.4301186</v>
      </c>
    </row>
    <row r="16" spans="2:16"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</row>
    <row r="112" spans="2:11" ht="36">
      <c r="B112" s="72"/>
      <c r="C112" s="2" t="s">
        <v>74</v>
      </c>
      <c r="D112" s="2" t="s">
        <v>75</v>
      </c>
      <c r="E112" s="2" t="s">
        <v>76</v>
      </c>
      <c r="F112" s="2" t="s">
        <v>77</v>
      </c>
      <c r="G112" s="2" t="s">
        <v>53</v>
      </c>
      <c r="K112" s="2" t="s">
        <v>54</v>
      </c>
    </row>
    <row r="113" spans="2:11">
      <c r="B113" s="69" t="s">
        <v>61</v>
      </c>
      <c r="C113" s="76">
        <v>653705819.77447939</v>
      </c>
      <c r="D113" s="76">
        <v>784080359.49273968</v>
      </c>
      <c r="E113" s="76">
        <v>819084230.00514972</v>
      </c>
      <c r="F113" s="76">
        <v>842011756.88521254</v>
      </c>
      <c r="G113" s="76">
        <v>853046023.2288444</v>
      </c>
      <c r="K113" s="76">
        <v>873948314</v>
      </c>
    </row>
    <row r="114" spans="2:11">
      <c r="B114" s="69" t="s">
        <v>65</v>
      </c>
      <c r="C114" s="76">
        <v>185041137.12250775</v>
      </c>
      <c r="D114" s="76">
        <v>200632704.4113155</v>
      </c>
      <c r="E114" s="76">
        <v>207620859.07529095</v>
      </c>
      <c r="F114" s="76">
        <v>227842591.47386581</v>
      </c>
      <c r="G114" s="76">
        <v>241067540.27386463</v>
      </c>
      <c r="K114" s="76">
        <v>256205613</v>
      </c>
    </row>
    <row r="115" spans="2:11">
      <c r="B115" s="69" t="s">
        <v>62</v>
      </c>
      <c r="C115" s="76">
        <v>46271438.024811693</v>
      </c>
      <c r="D115" s="76">
        <v>46398592.348714642</v>
      </c>
      <c r="E115" s="76">
        <v>45164493.901122659</v>
      </c>
      <c r="F115" s="76">
        <v>47028157.874758951</v>
      </c>
      <c r="G115" s="76">
        <v>46579711.944241941</v>
      </c>
      <c r="K115" s="76">
        <v>47703315</v>
      </c>
    </row>
    <row r="116" spans="2:11">
      <c r="B116" s="69" t="s">
        <v>64</v>
      </c>
      <c r="C116" s="76">
        <v>118877181.10478511</v>
      </c>
      <c r="D116" s="76">
        <v>126886528.36140691</v>
      </c>
      <c r="E116" s="76">
        <v>125834423.34679161</v>
      </c>
      <c r="F116" s="76">
        <v>132946858.54866537</v>
      </c>
      <c r="G116" s="76">
        <v>133237112.45433946</v>
      </c>
      <c r="K116" s="76">
        <v>146359828</v>
      </c>
    </row>
    <row r="117" spans="2:11">
      <c r="B117" s="69" t="s">
        <v>66</v>
      </c>
      <c r="C117" s="76">
        <v>25747425.380372174</v>
      </c>
      <c r="D117" s="76">
        <v>25928611.594062604</v>
      </c>
      <c r="E117" s="76">
        <v>26612923.025028318</v>
      </c>
      <c r="F117" s="76">
        <v>29351192.220643457</v>
      </c>
      <c r="G117" s="76">
        <v>30170556.056940202</v>
      </c>
      <c r="K117" s="76">
        <v>34314965</v>
      </c>
    </row>
    <row r="118" spans="2:11" ht="24">
      <c r="B118" s="69" t="s">
        <v>63</v>
      </c>
      <c r="C118" s="76">
        <v>230085733.42357111</v>
      </c>
      <c r="D118" s="76">
        <v>275025947.63751751</v>
      </c>
      <c r="E118" s="76">
        <v>289272420.41363674</v>
      </c>
      <c r="F118" s="76">
        <v>325773250.89394093</v>
      </c>
      <c r="G118" s="76">
        <v>348609708.20332974</v>
      </c>
      <c r="K118" s="76">
        <v>379335977</v>
      </c>
    </row>
    <row r="119" spans="2:11" ht="24">
      <c r="B119" s="69" t="s">
        <v>79</v>
      </c>
      <c r="C119" s="81">
        <v>27786420.821001329</v>
      </c>
      <c r="D119" s="81">
        <v>37553787.794127136</v>
      </c>
      <c r="E119" s="81">
        <v>30680440.303429801</v>
      </c>
      <c r="F119" s="81">
        <v>25931186.39460063</v>
      </c>
      <c r="G119" s="81">
        <v>33158950.123140574</v>
      </c>
      <c r="K119" s="76">
        <v>31438861</v>
      </c>
    </row>
    <row r="120" spans="2:11">
      <c r="B120" s="69" t="s">
        <v>81</v>
      </c>
      <c r="C120" s="81">
        <v>157140296.30438635</v>
      </c>
      <c r="D120" s="81">
        <v>163826165.60180706</v>
      </c>
      <c r="E120" s="81">
        <v>170127580.9766196</v>
      </c>
      <c r="F120" s="81">
        <v>185009543.7584492</v>
      </c>
      <c r="G120" s="81">
        <v>203245450.49886709</v>
      </c>
      <c r="K120" s="76">
        <v>236142764</v>
      </c>
    </row>
    <row r="121" spans="2:11">
      <c r="B121" s="69" t="s">
        <v>80</v>
      </c>
      <c r="C121" s="76">
        <v>36552224.453699604</v>
      </c>
      <c r="D121" s="76">
        <v>37566470.375174791</v>
      </c>
      <c r="E121" s="81">
        <v>39966192.641878664</v>
      </c>
      <c r="F121" s="81">
        <v>50030531.742413476</v>
      </c>
      <c r="G121" s="81">
        <v>56716631.457984433</v>
      </c>
      <c r="K121" s="76">
        <v>62315007</v>
      </c>
    </row>
    <row r="122" spans="2:11">
      <c r="B122" s="69" t="s">
        <v>67</v>
      </c>
      <c r="C122" s="84">
        <v>0</v>
      </c>
      <c r="D122" s="83">
        <v>0</v>
      </c>
      <c r="E122" s="84">
        <v>0</v>
      </c>
      <c r="F122" s="84">
        <v>726552.63046787772</v>
      </c>
      <c r="G122" s="84">
        <v>3188070.8292779033</v>
      </c>
      <c r="K122" s="84">
        <v>6029069</v>
      </c>
    </row>
    <row r="123" spans="2:11">
      <c r="B123" s="69" t="s">
        <v>69</v>
      </c>
      <c r="C123" s="76">
        <v>25383382.936420027</v>
      </c>
      <c r="D123" s="76">
        <v>28080843.1212219</v>
      </c>
      <c r="E123" s="76">
        <v>32426697.092594493</v>
      </c>
      <c r="F123" s="76">
        <v>35943988.306302644</v>
      </c>
      <c r="G123" s="76">
        <v>36279257.443010539</v>
      </c>
      <c r="K123" s="76">
        <v>56270281</v>
      </c>
    </row>
    <row r="124" spans="2:11">
      <c r="B124" s="73" t="s">
        <v>11</v>
      </c>
      <c r="C124" s="85">
        <v>1506591059.3460345</v>
      </c>
      <c r="D124" s="85">
        <v>1725980010.7380877</v>
      </c>
      <c r="E124" s="85">
        <v>1786790260.7815421</v>
      </c>
      <c r="F124" s="85">
        <v>1902595610.729321</v>
      </c>
      <c r="G124" s="85">
        <v>1985299012.5138412</v>
      </c>
      <c r="K124" s="85">
        <f t="shared" ref="K124" si="4">SUM(K113:K123)</f>
        <v>2130063994</v>
      </c>
    </row>
    <row r="130" spans="2:8" ht="28.5" customHeight="1" thickBot="1">
      <c r="B130" s="260" t="s">
        <v>91</v>
      </c>
      <c r="C130" s="261"/>
      <c r="D130" s="261"/>
      <c r="E130" s="261"/>
      <c r="F130" s="261"/>
      <c r="G130" s="261"/>
      <c r="H130" s="261"/>
    </row>
    <row r="131" spans="2:8" ht="25.5" customHeight="1" thickBot="1">
      <c r="B131" s="66" t="s">
        <v>92</v>
      </c>
      <c r="C131" s="86">
        <v>2010</v>
      </c>
      <c r="D131" s="86">
        <v>2011</v>
      </c>
      <c r="E131" s="86">
        <v>2012</v>
      </c>
      <c r="F131" s="86">
        <v>2013</v>
      </c>
      <c r="G131" s="86">
        <v>2014</v>
      </c>
      <c r="H131" s="86" t="s">
        <v>93</v>
      </c>
    </row>
    <row r="132" spans="2:8" ht="15" customHeight="1" thickBot="1">
      <c r="B132" s="67" t="s">
        <v>61</v>
      </c>
      <c r="C132" s="87">
        <v>663449572</v>
      </c>
      <c r="D132" s="87">
        <v>795767397</v>
      </c>
      <c r="E132" s="87">
        <v>831293015</v>
      </c>
      <c r="F132" s="87">
        <v>854562286</v>
      </c>
      <c r="G132" s="87">
        <v>865761022</v>
      </c>
      <c r="H132" s="91">
        <v>0.30499999999999999</v>
      </c>
    </row>
    <row r="133" spans="2:8" ht="15" customHeight="1" thickBot="1">
      <c r="B133" s="67" t="s">
        <v>65</v>
      </c>
      <c r="C133" s="87">
        <v>187799251</v>
      </c>
      <c r="D133" s="87">
        <v>203623217</v>
      </c>
      <c r="E133" s="87">
        <v>210715533</v>
      </c>
      <c r="F133" s="87">
        <v>231238678</v>
      </c>
      <c r="G133" s="87">
        <v>244660750</v>
      </c>
      <c r="H133" s="91">
        <v>0.30299999999999999</v>
      </c>
    </row>
    <row r="134" spans="2:8" ht="15" customHeight="1" thickBot="1">
      <c r="B134" s="67" t="s">
        <v>62</v>
      </c>
      <c r="C134" s="87">
        <v>46961133</v>
      </c>
      <c r="D134" s="87">
        <v>47090182</v>
      </c>
      <c r="E134" s="87">
        <v>45837689</v>
      </c>
      <c r="F134" s="87">
        <v>47729132</v>
      </c>
      <c r="G134" s="87">
        <v>47274002</v>
      </c>
      <c r="H134" s="91">
        <v>7.0000000000000001E-3</v>
      </c>
    </row>
    <row r="135" spans="2:8" ht="15" customHeight="1" thickBot="1">
      <c r="B135" s="67" t="s">
        <v>64</v>
      </c>
      <c r="C135" s="87">
        <v>120649094</v>
      </c>
      <c r="D135" s="87">
        <v>128777824</v>
      </c>
      <c r="E135" s="87">
        <v>127710037</v>
      </c>
      <c r="F135" s="87">
        <v>134928486</v>
      </c>
      <c r="G135" s="87">
        <v>135223066</v>
      </c>
      <c r="H135" s="91">
        <v>0.121</v>
      </c>
    </row>
    <row r="136" spans="2:8" ht="15" customHeight="1" thickBot="1">
      <c r="B136" s="67" t="s">
        <v>66</v>
      </c>
      <c r="C136" s="87">
        <v>26131201</v>
      </c>
      <c r="D136" s="87">
        <v>26315088</v>
      </c>
      <c r="E136" s="87">
        <v>27009600</v>
      </c>
      <c r="F136" s="87">
        <v>29788684</v>
      </c>
      <c r="G136" s="87">
        <v>30620261</v>
      </c>
      <c r="H136" s="91">
        <v>0.17199999999999999</v>
      </c>
    </row>
    <row r="137" spans="2:8" ht="15" customHeight="1" thickBot="1">
      <c r="B137" s="67" t="s">
        <v>63</v>
      </c>
      <c r="C137" s="87">
        <v>233515255</v>
      </c>
      <c r="D137" s="87">
        <v>279125322</v>
      </c>
      <c r="E137" s="87">
        <v>293584144</v>
      </c>
      <c r="F137" s="87">
        <v>330629034</v>
      </c>
      <c r="G137" s="87">
        <v>353805878</v>
      </c>
      <c r="H137" s="91">
        <v>0.51500000000000001</v>
      </c>
    </row>
    <row r="138" spans="2:8" ht="15" customHeight="1" thickBot="1">
      <c r="B138" s="67" t="s">
        <v>79</v>
      </c>
      <c r="C138" s="87">
        <v>28200589</v>
      </c>
      <c r="D138" s="87">
        <v>38113542</v>
      </c>
      <c r="E138" s="87">
        <v>31137745</v>
      </c>
      <c r="F138" s="87">
        <v>26317701</v>
      </c>
      <c r="G138" s="87">
        <v>33653198</v>
      </c>
      <c r="H138" s="91">
        <v>0.193</v>
      </c>
    </row>
    <row r="139" spans="2:8" ht="15" customHeight="1" thickBot="1">
      <c r="B139" s="67" t="s">
        <v>94</v>
      </c>
      <c r="C139" s="87">
        <v>159482537</v>
      </c>
      <c r="D139" s="87">
        <v>166268061</v>
      </c>
      <c r="E139" s="87">
        <v>172663402</v>
      </c>
      <c r="F139" s="87">
        <v>187767186</v>
      </c>
      <c r="G139" s="87">
        <v>206274907</v>
      </c>
      <c r="H139" s="91">
        <v>0.29299999999999998</v>
      </c>
    </row>
    <row r="140" spans="2:8" ht="26.25" customHeight="1" thickBot="1">
      <c r="B140" s="67" t="s">
        <v>95</v>
      </c>
      <c r="C140" s="87">
        <v>37097050</v>
      </c>
      <c r="D140" s="87">
        <v>38126414</v>
      </c>
      <c r="E140" s="87">
        <v>40561905</v>
      </c>
      <c r="F140" s="87">
        <v>50776257</v>
      </c>
      <c r="G140" s="87">
        <v>57562016</v>
      </c>
      <c r="H140" s="91">
        <v>0.55200000000000005</v>
      </c>
    </row>
    <row r="141" spans="2:8" ht="15.75" thickBot="1">
      <c r="B141" s="67" t="s">
        <v>67</v>
      </c>
      <c r="C141" s="87">
        <v>0</v>
      </c>
      <c r="D141" s="87">
        <v>0</v>
      </c>
      <c r="E141" s="87">
        <v>0</v>
      </c>
      <c r="F141" s="87">
        <v>737382</v>
      </c>
      <c r="G141" s="87">
        <v>3235590</v>
      </c>
      <c r="H141" s="91">
        <v>3.3879999999999999</v>
      </c>
    </row>
    <row r="142" spans="2:8" ht="18" customHeight="1" thickBot="1">
      <c r="B142" s="67" t="s">
        <v>69</v>
      </c>
      <c r="C142" s="87">
        <v>25761733</v>
      </c>
      <c r="D142" s="87">
        <v>28499400</v>
      </c>
      <c r="E142" s="87">
        <v>32910030</v>
      </c>
      <c r="F142" s="87">
        <v>36479748</v>
      </c>
      <c r="G142" s="87">
        <v>36820015</v>
      </c>
      <c r="H142" s="91">
        <v>0.42899999999999999</v>
      </c>
    </row>
    <row r="143" spans="2:8" ht="15.75" thickBot="1">
      <c r="B143" s="66" t="s">
        <v>11</v>
      </c>
      <c r="C143" s="88">
        <v>1529047414</v>
      </c>
      <c r="D143" s="88">
        <v>1751706447</v>
      </c>
      <c r="E143" s="88">
        <v>1813423099</v>
      </c>
      <c r="F143" s="88">
        <v>1930954575</v>
      </c>
      <c r="G143" s="88">
        <v>2014890704</v>
      </c>
      <c r="H143" s="92">
        <v>0.318</v>
      </c>
    </row>
  </sheetData>
  <mergeCells count="1">
    <mergeCell ref="B130:H130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3"/>
  <sheetViews>
    <sheetView zoomScale="95" zoomScaleNormal="95" workbookViewId="0">
      <selection activeCell="B9" sqref="B9:E13"/>
    </sheetView>
  </sheetViews>
  <sheetFormatPr baseColWidth="10" defaultRowHeight="15"/>
  <cols>
    <col min="2" max="2" width="40.140625" customWidth="1"/>
    <col min="3" max="3" width="21" customWidth="1"/>
    <col min="4" max="4" width="28.85546875" customWidth="1"/>
    <col min="5" max="5" width="16.42578125" customWidth="1"/>
  </cols>
  <sheetData>
    <row r="1" spans="2:5" ht="15.75" thickBot="1"/>
    <row r="2" spans="2:5" ht="15.75">
      <c r="B2" s="262" t="s">
        <v>82</v>
      </c>
      <c r="C2" s="51">
        <v>2014</v>
      </c>
      <c r="D2" s="264" t="s">
        <v>51</v>
      </c>
      <c r="E2" s="264" t="s">
        <v>84</v>
      </c>
    </row>
    <row r="3" spans="2:5" ht="16.5" thickBot="1">
      <c r="B3" s="263"/>
      <c r="C3" s="52" t="s">
        <v>83</v>
      </c>
      <c r="D3" s="265"/>
      <c r="E3" s="265"/>
    </row>
    <row r="4" spans="2:5" ht="32.25" thickBot="1">
      <c r="B4" s="53" t="s">
        <v>85</v>
      </c>
      <c r="C4" s="54">
        <v>102017694</v>
      </c>
      <c r="D4" s="54">
        <v>128311150</v>
      </c>
      <c r="E4" s="55">
        <v>0.25800000000000001</v>
      </c>
    </row>
    <row r="5" spans="2:5" ht="32.25" thickBot="1">
      <c r="B5" s="53" t="s">
        <v>86</v>
      </c>
      <c r="C5" s="54">
        <v>23817239</v>
      </c>
      <c r="D5" s="54">
        <v>22326958</v>
      </c>
      <c r="E5" s="55">
        <v>-6.3E-2</v>
      </c>
    </row>
    <row r="6" spans="2:5" ht="16.5" thickBot="1">
      <c r="B6" s="53" t="s">
        <v>87</v>
      </c>
      <c r="C6" s="54">
        <v>125834933</v>
      </c>
      <c r="D6" s="54">
        <v>150638108</v>
      </c>
      <c r="E6" s="56"/>
    </row>
    <row r="8" spans="2:5" ht="15.75" thickBot="1"/>
    <row r="9" spans="2:5" ht="15.75">
      <c r="B9" s="262" t="s">
        <v>82</v>
      </c>
      <c r="C9" s="51">
        <v>2014</v>
      </c>
      <c r="D9" s="264" t="s">
        <v>51</v>
      </c>
      <c r="E9" s="264" t="s">
        <v>84</v>
      </c>
    </row>
    <row r="10" spans="2:5" ht="16.5" thickBot="1">
      <c r="B10" s="263"/>
      <c r="C10" s="52" t="s">
        <v>88</v>
      </c>
      <c r="D10" s="265"/>
      <c r="E10" s="265"/>
    </row>
    <row r="11" spans="2:5" ht="32.25" thickBot="1">
      <c r="B11" s="53" t="s">
        <v>85</v>
      </c>
      <c r="C11" s="54">
        <f>C4*'evolución 2010-2015'!O9</f>
        <v>105183448.46852526</v>
      </c>
      <c r="D11" s="54">
        <v>128311150</v>
      </c>
      <c r="E11" s="57">
        <f>(D11-C11)/C11</f>
        <v>0.21987966612822543</v>
      </c>
    </row>
    <row r="12" spans="2:5" ht="32.25" thickBot="1">
      <c r="B12" s="53" t="s">
        <v>86</v>
      </c>
      <c r="C12" s="54">
        <f>C5*presupuesto!N7</f>
        <v>24556321.877056446</v>
      </c>
      <c r="D12" s="54">
        <v>22326958</v>
      </c>
      <c r="E12" s="57">
        <f>(D12-C12)/C12</f>
        <v>-9.0785740967966114E-2</v>
      </c>
    </row>
    <row r="13" spans="2:5" ht="16.5" thickBot="1">
      <c r="B13" s="53" t="s">
        <v>87</v>
      </c>
      <c r="C13" s="54">
        <f>SUM(C11:C12)</f>
        <v>129739770.34558171</v>
      </c>
      <c r="D13" s="54">
        <v>150638108</v>
      </c>
      <c r="E13" s="56"/>
    </row>
  </sheetData>
  <mergeCells count="6">
    <mergeCell ref="B2:B3"/>
    <mergeCell ref="D2:D3"/>
    <mergeCell ref="E2:E3"/>
    <mergeCell ref="B9:B10"/>
    <mergeCell ref="D9:D10"/>
    <mergeCell ref="E9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3"/>
  <sheetViews>
    <sheetView workbookViewId="0">
      <selection sqref="A1:XFD1048576"/>
    </sheetView>
  </sheetViews>
  <sheetFormatPr baseColWidth="10" defaultRowHeight="15"/>
  <cols>
    <col min="1" max="1" width="41.7109375" style="71" customWidth="1"/>
    <col min="2" max="2" width="13" style="71" customWidth="1"/>
    <col min="3" max="8" width="13" style="90" customWidth="1"/>
    <col min="9" max="9" width="12.42578125" style="65" customWidth="1"/>
    <col min="10" max="10" width="11.42578125" style="65"/>
    <col min="11" max="16" width="15.7109375" style="65" bestFit="1" customWidth="1"/>
    <col min="17" max="16384" width="11.42578125" style="65"/>
  </cols>
  <sheetData>
    <row r="1" spans="1:23">
      <c r="B1" s="266" t="s">
        <v>101</v>
      </c>
      <c r="C1" s="266"/>
      <c r="D1" s="266"/>
      <c r="E1" s="266"/>
      <c r="F1" s="266"/>
      <c r="G1" s="266"/>
      <c r="H1" s="266"/>
      <c r="I1" s="266"/>
      <c r="J1" s="267" t="s">
        <v>102</v>
      </c>
      <c r="K1" s="267"/>
      <c r="L1" s="267"/>
      <c r="M1" s="267"/>
      <c r="N1" s="267"/>
      <c r="O1" s="267"/>
      <c r="P1" s="267"/>
      <c r="Q1" s="267"/>
    </row>
    <row r="2" spans="1:23" ht="46.5" customHeight="1">
      <c r="A2" s="105" t="s">
        <v>96</v>
      </c>
      <c r="B2" s="2" t="s">
        <v>15</v>
      </c>
      <c r="C2" s="2" t="s">
        <v>16</v>
      </c>
      <c r="D2" s="2" t="s">
        <v>21</v>
      </c>
      <c r="E2" s="2" t="s">
        <v>22</v>
      </c>
      <c r="F2" s="2" t="s">
        <v>17</v>
      </c>
      <c r="G2" s="2" t="s">
        <v>28</v>
      </c>
      <c r="H2" s="2" t="s">
        <v>54</v>
      </c>
      <c r="I2" s="2" t="s">
        <v>97</v>
      </c>
      <c r="J2" s="114" t="s">
        <v>15</v>
      </c>
      <c r="K2" s="114" t="s">
        <v>16</v>
      </c>
      <c r="L2" s="114" t="s">
        <v>21</v>
      </c>
      <c r="M2" s="114" t="s">
        <v>22</v>
      </c>
      <c r="N2" s="114" t="s">
        <v>17</v>
      </c>
      <c r="O2" s="114" t="s">
        <v>28</v>
      </c>
      <c r="P2" s="114" t="s">
        <v>54</v>
      </c>
      <c r="Q2" s="114" t="s">
        <v>103</v>
      </c>
      <c r="R2" s="115" t="s">
        <v>23</v>
      </c>
      <c r="S2" s="115" t="s">
        <v>24</v>
      </c>
      <c r="T2" s="115" t="s">
        <v>25</v>
      </c>
      <c r="U2" s="115" t="s">
        <v>26</v>
      </c>
      <c r="V2" s="115" t="s">
        <v>55</v>
      </c>
      <c r="W2" s="115" t="s">
        <v>104</v>
      </c>
    </row>
    <row r="3" spans="1:23">
      <c r="A3" s="69" t="s">
        <v>3</v>
      </c>
      <c r="B3" s="76">
        <v>320930664</v>
      </c>
      <c r="C3" s="76">
        <v>563888414</v>
      </c>
      <c r="D3" s="76">
        <v>696502494</v>
      </c>
      <c r="E3" s="76">
        <v>759840320</v>
      </c>
      <c r="F3" s="76">
        <v>792694615</v>
      </c>
      <c r="G3" s="76">
        <v>827371506</v>
      </c>
      <c r="H3" s="76">
        <v>873948314</v>
      </c>
      <c r="I3" s="42"/>
      <c r="J3" s="42"/>
      <c r="K3" s="35">
        <f>C3*$D$28</f>
        <v>666452177.37248576</v>
      </c>
      <c r="L3" s="35">
        <f>D3*$D$29</f>
        <v>788255165.72994125</v>
      </c>
      <c r="M3" s="35">
        <f>E3*$D$30</f>
        <v>847368865.94539738</v>
      </c>
      <c r="N3" s="35">
        <f>F3*$D$31</f>
        <v>858056194.42616487</v>
      </c>
      <c r="O3" s="35">
        <f>G3*$D$32</f>
        <v>855880070.41310489</v>
      </c>
      <c r="P3" s="35">
        <f>H3*$D$33</f>
        <v>873948314</v>
      </c>
      <c r="Q3" s="42"/>
      <c r="R3" s="116">
        <f>(L3-K3)/K3</f>
        <v>0.18276328368776379</v>
      </c>
      <c r="S3" s="116">
        <f>(M3-L3)/L3</f>
        <v>7.4993102215467969E-2</v>
      </c>
      <c r="T3" s="116">
        <f>(M3-N3)/M3</f>
        <v>-1.2612368603894584E-2</v>
      </c>
      <c r="U3" s="116"/>
      <c r="V3" s="116"/>
      <c r="W3" s="116"/>
    </row>
    <row r="4" spans="1:23">
      <c r="A4" s="69" t="s">
        <v>6</v>
      </c>
      <c r="B4" s="76">
        <v>29719174</v>
      </c>
      <c r="C4" s="76">
        <v>39913868</v>
      </c>
      <c r="D4" s="104">
        <v>41216101</v>
      </c>
      <c r="E4" s="76">
        <v>41897771</v>
      </c>
      <c r="F4" s="76">
        <v>44273690</v>
      </c>
      <c r="G4" s="76">
        <v>45177781</v>
      </c>
      <c r="H4" s="76">
        <v>47703315</v>
      </c>
      <c r="I4" s="42"/>
      <c r="J4" s="42"/>
      <c r="K4" s="35">
        <f t="shared" ref="K4:K21" si="0">C4*$D$28</f>
        <v>47173666.94460579</v>
      </c>
      <c r="L4" s="35">
        <f t="shared" ref="L4:L21" si="1">D4*$D$29</f>
        <v>46645639.899886698</v>
      </c>
      <c r="M4" s="35">
        <f t="shared" ref="M4:M21" si="2">E4*$D$30</f>
        <v>46724115.269258097</v>
      </c>
      <c r="N4" s="35">
        <f t="shared" ref="N4:N21" si="3">F4*$D$31</f>
        <v>47924274.034085311</v>
      </c>
      <c r="O4" s="35">
        <f t="shared" ref="O4:O20" si="4">G4*$D$32</f>
        <v>46734462.213142537</v>
      </c>
      <c r="P4" s="35">
        <f t="shared" ref="P4:P20" si="5">H4*$D$33</f>
        <v>47703315</v>
      </c>
      <c r="Q4" s="42"/>
      <c r="R4" s="116">
        <f t="shared" ref="R4:R21" si="6">(L4-K4)/K4</f>
        <v>-1.1193258419769111E-2</v>
      </c>
      <c r="S4" s="116">
        <f t="shared" ref="S4:S21" si="7">(M4-L4)/L4</f>
        <v>1.6823730908146445E-3</v>
      </c>
      <c r="T4" s="116">
        <f t="shared" ref="T4:T21" si="8">(M4-N4)/M4</f>
        <v>-2.5686067203435154E-2</v>
      </c>
      <c r="U4" s="116"/>
      <c r="V4" s="116"/>
      <c r="W4" s="116"/>
    </row>
    <row r="5" spans="1:23">
      <c r="A5" s="69" t="s">
        <v>4</v>
      </c>
      <c r="B5" s="76">
        <v>122151869</v>
      </c>
      <c r="C5" s="76">
        <v>192716737</v>
      </c>
      <c r="D5" s="104">
        <v>236827278</v>
      </c>
      <c r="E5" s="76">
        <v>258994773</v>
      </c>
      <c r="F5" s="76">
        <v>276456718</v>
      </c>
      <c r="G5" s="76">
        <v>301087729</v>
      </c>
      <c r="H5" s="76">
        <v>340971488</v>
      </c>
      <c r="I5" s="42"/>
      <c r="J5" s="42"/>
      <c r="K5" s="35">
        <f t="shared" si="0"/>
        <v>227769334.85597503</v>
      </c>
      <c r="L5" s="35">
        <f t="shared" si="1"/>
        <v>268025350.7739211</v>
      </c>
      <c r="M5" s="35">
        <f t="shared" si="2"/>
        <v>288829246.4958896</v>
      </c>
      <c r="N5" s="35">
        <f t="shared" si="3"/>
        <v>299251937.4824155</v>
      </c>
      <c r="O5" s="35">
        <f t="shared" si="4"/>
        <v>311462244.98700809</v>
      </c>
      <c r="P5" s="35">
        <f t="shared" si="5"/>
        <v>340971488</v>
      </c>
      <c r="Q5" s="42"/>
      <c r="R5" s="116">
        <f t="shared" si="6"/>
        <v>0.17674027956134256</v>
      </c>
      <c r="S5" s="116">
        <f t="shared" si="7"/>
        <v>7.7619134391196262E-2</v>
      </c>
      <c r="T5" s="116">
        <f t="shared" si="8"/>
        <v>-3.6085995836554662E-2</v>
      </c>
      <c r="U5" s="116"/>
      <c r="V5" s="116"/>
      <c r="W5" s="116"/>
    </row>
    <row r="6" spans="1:23">
      <c r="A6" s="69" t="s">
        <v>9</v>
      </c>
      <c r="B6" s="76">
        <v>1243234</v>
      </c>
      <c r="C6" s="76">
        <v>5755841</v>
      </c>
      <c r="D6" s="104">
        <v>7479643</v>
      </c>
      <c r="E6" s="76">
        <v>9354733</v>
      </c>
      <c r="F6" s="76">
        <v>30235795</v>
      </c>
      <c r="G6" s="76">
        <v>37029713</v>
      </c>
      <c r="H6" s="76">
        <v>38364489</v>
      </c>
      <c r="I6" s="42"/>
      <c r="J6" s="42"/>
      <c r="K6" s="35">
        <f t="shared" si="0"/>
        <v>6802751.5228568353</v>
      </c>
      <c r="L6" s="35">
        <f t="shared" si="1"/>
        <v>8464962.1262745894</v>
      </c>
      <c r="M6" s="35">
        <f t="shared" si="2"/>
        <v>10432335.958997261</v>
      </c>
      <c r="N6" s="35">
        <f t="shared" si="3"/>
        <v>32728885.376810163</v>
      </c>
      <c r="O6" s="35">
        <f t="shared" si="4"/>
        <v>38305637.963095464</v>
      </c>
      <c r="P6" s="35">
        <f t="shared" si="5"/>
        <v>38364489</v>
      </c>
      <c r="Q6" s="42"/>
      <c r="R6" s="116">
        <f t="shared" si="6"/>
        <v>0.2443438655421746</v>
      </c>
      <c r="S6" s="116">
        <f t="shared" si="7"/>
        <v>0.23241377851131723</v>
      </c>
      <c r="T6" s="116">
        <f t="shared" si="8"/>
        <v>-2.1372537757072014</v>
      </c>
      <c r="U6" s="116"/>
      <c r="V6" s="116"/>
      <c r="W6" s="116"/>
    </row>
    <row r="7" spans="1:23">
      <c r="A7" s="69" t="s">
        <v>70</v>
      </c>
      <c r="B7" s="76">
        <v>6969472</v>
      </c>
      <c r="C7" s="76">
        <v>23968642</v>
      </c>
      <c r="D7" s="104">
        <v>33359217</v>
      </c>
      <c r="E7" s="76">
        <v>28461341</v>
      </c>
      <c r="F7" s="76">
        <v>24412381</v>
      </c>
      <c r="G7" s="76">
        <v>32160950</v>
      </c>
      <c r="H7" s="76">
        <v>31438861</v>
      </c>
      <c r="I7" s="42"/>
      <c r="J7" s="42"/>
      <c r="K7" s="35">
        <f t="shared" si="0"/>
        <v>28328217.521350972</v>
      </c>
      <c r="L7" s="35">
        <f t="shared" si="1"/>
        <v>37753741.51776702</v>
      </c>
      <c r="M7" s="35">
        <f t="shared" si="2"/>
        <v>31739897.991271697</v>
      </c>
      <c r="N7" s="35">
        <f t="shared" si="3"/>
        <v>26425302.179883752</v>
      </c>
      <c r="O7" s="35">
        <f t="shared" si="4"/>
        <v>33269113.029561289</v>
      </c>
      <c r="P7" s="35">
        <f t="shared" si="5"/>
        <v>31438861</v>
      </c>
      <c r="Q7" s="42"/>
      <c r="R7" s="116">
        <f t="shared" si="6"/>
        <v>0.33272562911210463</v>
      </c>
      <c r="S7" s="116">
        <f t="shared" si="7"/>
        <v>-0.15929132543499538</v>
      </c>
      <c r="T7" s="116">
        <f t="shared" si="8"/>
        <v>0.16744212009910778</v>
      </c>
      <c r="U7" s="116"/>
      <c r="V7" s="116"/>
      <c r="W7" s="116"/>
    </row>
    <row r="8" spans="1:23">
      <c r="A8" s="69" t="s">
        <v>8</v>
      </c>
      <c r="B8" s="76">
        <v>77876780</v>
      </c>
      <c r="C8" s="76">
        <v>102543779</v>
      </c>
      <c r="D8" s="76">
        <v>112713936</v>
      </c>
      <c r="E8" s="76">
        <v>116732889</v>
      </c>
      <c r="F8" s="76">
        <v>125160080</v>
      </c>
      <c r="G8" s="76">
        <v>129227014</v>
      </c>
      <c r="H8" s="76">
        <v>146359828</v>
      </c>
      <c r="I8" s="42"/>
      <c r="J8" s="42"/>
      <c r="K8" s="35">
        <f t="shared" si="0"/>
        <v>121195121.39959127</v>
      </c>
      <c r="L8" s="35">
        <f t="shared" si="1"/>
        <v>127562130.88557008</v>
      </c>
      <c r="M8" s="35">
        <f t="shared" si="2"/>
        <v>130179740.6203187</v>
      </c>
      <c r="N8" s="35">
        <f t="shared" si="3"/>
        <v>135480145.70387152</v>
      </c>
      <c r="O8" s="35">
        <f t="shared" si="4"/>
        <v>133679761.7992845</v>
      </c>
      <c r="P8" s="35">
        <f t="shared" si="5"/>
        <v>146359828</v>
      </c>
      <c r="Q8" s="42"/>
      <c r="R8" s="116">
        <f t="shared" si="6"/>
        <v>5.2535196239345362E-2</v>
      </c>
      <c r="S8" s="116">
        <f t="shared" si="7"/>
        <v>2.0520272878608071E-2</v>
      </c>
      <c r="T8" s="116">
        <f t="shared" si="8"/>
        <v>-4.0716051962432054E-2</v>
      </c>
      <c r="U8" s="116"/>
      <c r="V8" s="116"/>
      <c r="W8" s="116"/>
    </row>
    <row r="9" spans="1:23">
      <c r="A9" s="69" t="s">
        <v>2</v>
      </c>
      <c r="B9" s="76">
        <v>86469013</v>
      </c>
      <c r="C9" s="76">
        <v>159616987</v>
      </c>
      <c r="D9" s="76">
        <v>178223032</v>
      </c>
      <c r="E9" s="76">
        <v>192603757</v>
      </c>
      <c r="F9" s="76">
        <v>214497712</v>
      </c>
      <c r="G9" s="76">
        <v>233812020</v>
      </c>
      <c r="H9" s="76">
        <v>256205613</v>
      </c>
      <c r="I9" s="42"/>
      <c r="J9" s="42"/>
      <c r="K9" s="35">
        <f t="shared" si="0"/>
        <v>188649182.87146392</v>
      </c>
      <c r="L9" s="35">
        <f t="shared" si="1"/>
        <v>201700965.66237509</v>
      </c>
      <c r="M9" s="35">
        <f t="shared" si="2"/>
        <v>214790427.47548971</v>
      </c>
      <c r="N9" s="35">
        <f t="shared" si="3"/>
        <v>232184105.94581813</v>
      </c>
      <c r="O9" s="35">
        <f t="shared" si="4"/>
        <v>241868431.157974</v>
      </c>
      <c r="P9" s="35">
        <f t="shared" si="5"/>
        <v>256205613</v>
      </c>
      <c r="Q9" s="42"/>
      <c r="R9" s="116">
        <f t="shared" si="6"/>
        <v>6.9185472167160131E-2</v>
      </c>
      <c r="S9" s="116">
        <f t="shared" si="7"/>
        <v>6.4895384958269922E-2</v>
      </c>
      <c r="T9" s="116">
        <f t="shared" si="8"/>
        <v>-8.0979765601114875E-2</v>
      </c>
      <c r="U9" s="116"/>
      <c r="V9" s="116"/>
      <c r="W9" s="116"/>
    </row>
    <row r="10" spans="1:23">
      <c r="A10" s="69" t="s">
        <v>18</v>
      </c>
      <c r="B10" s="6"/>
      <c r="C10" s="6"/>
      <c r="D10" s="32"/>
      <c r="E10" s="32"/>
      <c r="F10" s="76">
        <v>683998</v>
      </c>
      <c r="G10" s="76">
        <v>3092118</v>
      </c>
      <c r="H10" s="94"/>
      <c r="I10" s="42"/>
      <c r="J10" s="42"/>
      <c r="K10" s="35">
        <f t="shared" si="0"/>
        <v>0</v>
      </c>
      <c r="L10" s="35">
        <f t="shared" si="1"/>
        <v>0</v>
      </c>
      <c r="M10" s="35">
        <f t="shared" si="2"/>
        <v>0</v>
      </c>
      <c r="N10" s="35">
        <f t="shared" si="3"/>
        <v>740397.00758545951</v>
      </c>
      <c r="O10" s="35">
        <f t="shared" si="4"/>
        <v>3198662.4537751838</v>
      </c>
      <c r="P10" s="35">
        <f t="shared" si="5"/>
        <v>0</v>
      </c>
      <c r="Q10" s="42"/>
      <c r="R10" s="116" t="e">
        <f t="shared" si="6"/>
        <v>#DIV/0!</v>
      </c>
      <c r="S10" s="116" t="e">
        <f t="shared" si="7"/>
        <v>#DIV/0!</v>
      </c>
      <c r="T10" s="116" t="e">
        <f t="shared" si="8"/>
        <v>#DIV/0!</v>
      </c>
      <c r="U10" s="116"/>
      <c r="V10" s="116"/>
      <c r="W10" s="116"/>
    </row>
    <row r="11" spans="1:23">
      <c r="A11" s="69" t="s">
        <v>29</v>
      </c>
      <c r="B11" s="6"/>
      <c r="C11" s="6"/>
      <c r="D11" s="6"/>
      <c r="E11" s="6"/>
      <c r="F11" s="94"/>
      <c r="G11" s="94"/>
      <c r="H11" s="76">
        <v>3086380</v>
      </c>
      <c r="I11" s="42"/>
      <c r="J11" s="42"/>
      <c r="K11" s="35">
        <f t="shared" si="0"/>
        <v>0</v>
      </c>
      <c r="L11" s="35">
        <f t="shared" si="1"/>
        <v>0</v>
      </c>
      <c r="M11" s="35">
        <f t="shared" si="2"/>
        <v>0</v>
      </c>
      <c r="N11" s="35">
        <f t="shared" si="3"/>
        <v>0</v>
      </c>
      <c r="O11" s="35">
        <f t="shared" si="4"/>
        <v>0</v>
      </c>
      <c r="P11" s="35">
        <f t="shared" si="5"/>
        <v>3086380</v>
      </c>
      <c r="Q11" s="42"/>
      <c r="R11" s="116" t="e">
        <f t="shared" si="6"/>
        <v>#DIV/0!</v>
      </c>
      <c r="S11" s="116" t="e">
        <f t="shared" si="7"/>
        <v>#DIV/0!</v>
      </c>
      <c r="T11" s="116" t="e">
        <f t="shared" si="8"/>
        <v>#DIV/0!</v>
      </c>
      <c r="U11" s="116"/>
      <c r="V11" s="116"/>
      <c r="W11" s="116"/>
    </row>
    <row r="12" spans="1:23">
      <c r="A12" s="69" t="s">
        <v>30</v>
      </c>
      <c r="B12" s="6"/>
      <c r="C12" s="6"/>
      <c r="D12" s="6"/>
      <c r="E12" s="6"/>
      <c r="F12" s="94"/>
      <c r="G12" s="94"/>
      <c r="H12" s="76">
        <v>2942689</v>
      </c>
      <c r="I12" s="42"/>
      <c r="J12" s="42"/>
      <c r="K12" s="35">
        <f t="shared" si="0"/>
        <v>0</v>
      </c>
      <c r="L12" s="35">
        <f t="shared" si="1"/>
        <v>0</v>
      </c>
      <c r="M12" s="35">
        <f t="shared" si="2"/>
        <v>0</v>
      </c>
      <c r="N12" s="35">
        <f t="shared" si="3"/>
        <v>0</v>
      </c>
      <c r="O12" s="35">
        <f t="shared" si="4"/>
        <v>0</v>
      </c>
      <c r="P12" s="35">
        <f t="shared" si="5"/>
        <v>2942689</v>
      </c>
      <c r="Q12" s="42"/>
      <c r="R12" s="116" t="e">
        <f t="shared" si="6"/>
        <v>#DIV/0!</v>
      </c>
      <c r="S12" s="116" t="e">
        <f t="shared" si="7"/>
        <v>#DIV/0!</v>
      </c>
      <c r="T12" s="116" t="e">
        <f t="shared" si="8"/>
        <v>#DIV/0!</v>
      </c>
      <c r="U12" s="116"/>
      <c r="V12" s="116"/>
      <c r="W12" s="116"/>
    </row>
    <row r="13" spans="1:23">
      <c r="A13" s="69" t="s">
        <v>5</v>
      </c>
      <c r="B13" s="76">
        <v>60021330</v>
      </c>
      <c r="C13" s="76">
        <v>90599680</v>
      </c>
      <c r="D13" s="104">
        <v>94246107</v>
      </c>
      <c r="E13" s="76">
        <v>102920792</v>
      </c>
      <c r="F13" s="76">
        <v>114561582</v>
      </c>
      <c r="G13" s="76">
        <v>133360239</v>
      </c>
      <c r="H13" s="76">
        <v>159418456</v>
      </c>
      <c r="I13" s="42"/>
      <c r="J13" s="42"/>
      <c r="K13" s="35">
        <f t="shared" si="0"/>
        <v>107078550.48295149</v>
      </c>
      <c r="L13" s="35">
        <f t="shared" si="1"/>
        <v>106661471.18302605</v>
      </c>
      <c r="M13" s="35">
        <f t="shared" si="2"/>
        <v>114776582.00507461</v>
      </c>
      <c r="N13" s="35">
        <f t="shared" si="3"/>
        <v>124007749.28736085</v>
      </c>
      <c r="O13" s="35">
        <f t="shared" si="4"/>
        <v>137955404.45603463</v>
      </c>
      <c r="P13" s="35">
        <f t="shared" si="5"/>
        <v>159418456</v>
      </c>
      <c r="Q13" s="42"/>
      <c r="R13" s="116">
        <f t="shared" si="6"/>
        <v>-3.8950779408603573E-3</v>
      </c>
      <c r="S13" s="116">
        <f t="shared" si="7"/>
        <v>7.608286977519195E-2</v>
      </c>
      <c r="T13" s="116">
        <f t="shared" si="8"/>
        <v>-8.0427271147333043E-2</v>
      </c>
      <c r="U13" s="116"/>
      <c r="V13" s="116"/>
      <c r="W13" s="116"/>
    </row>
    <row r="14" spans="1:23" ht="24">
      <c r="A14" s="69" t="s">
        <v>10</v>
      </c>
      <c r="B14" s="76">
        <v>21334078</v>
      </c>
      <c r="C14" s="76">
        <v>44949966</v>
      </c>
      <c r="D14" s="104">
        <v>51281493</v>
      </c>
      <c r="E14" s="76">
        <v>54901555</v>
      </c>
      <c r="F14" s="76">
        <v>59611840</v>
      </c>
      <c r="G14" s="76">
        <v>63768040</v>
      </c>
      <c r="H14" s="76">
        <v>76724308</v>
      </c>
      <c r="I14" s="42"/>
      <c r="J14" s="42"/>
      <c r="K14" s="35">
        <f t="shared" si="0"/>
        <v>53125763.838657632</v>
      </c>
      <c r="L14" s="35">
        <f t="shared" si="1"/>
        <v>58036980.645174578</v>
      </c>
      <c r="M14" s="35">
        <f t="shared" si="2"/>
        <v>61225848.608545624</v>
      </c>
      <c r="N14" s="35">
        <f t="shared" si="3"/>
        <v>64527130.127081074</v>
      </c>
      <c r="O14" s="35">
        <f t="shared" si="4"/>
        <v>65965281.822632276</v>
      </c>
      <c r="P14" s="35">
        <f t="shared" si="5"/>
        <v>76724308</v>
      </c>
      <c r="Q14" s="42"/>
      <c r="R14" s="116">
        <f t="shared" si="6"/>
        <v>9.2445104816417462E-2</v>
      </c>
      <c r="S14" s="116">
        <f t="shared" si="7"/>
        <v>5.494544905544084E-2</v>
      </c>
      <c r="T14" s="116">
        <f t="shared" si="8"/>
        <v>-5.39197347780766E-2</v>
      </c>
      <c r="U14" s="116"/>
      <c r="V14" s="116"/>
      <c r="W14" s="116"/>
    </row>
    <row r="15" spans="1:23">
      <c r="A15" s="69" t="s">
        <v>1</v>
      </c>
      <c r="B15" s="6"/>
      <c r="C15" s="6"/>
      <c r="D15" s="32"/>
      <c r="E15" s="76">
        <v>37075460</v>
      </c>
      <c r="F15" s="76">
        <v>47100213</v>
      </c>
      <c r="G15" s="76">
        <v>55009605</v>
      </c>
      <c r="H15" s="76">
        <v>62315007</v>
      </c>
      <c r="I15" s="42"/>
      <c r="J15" s="42"/>
      <c r="K15" s="35">
        <f t="shared" si="0"/>
        <v>0</v>
      </c>
      <c r="L15" s="35">
        <f t="shared" si="1"/>
        <v>0</v>
      </c>
      <c r="M15" s="35">
        <f t="shared" si="2"/>
        <v>41346306.148381203</v>
      </c>
      <c r="N15" s="35">
        <f t="shared" si="3"/>
        <v>50983857.791744649</v>
      </c>
      <c r="O15" s="35">
        <f t="shared" si="4"/>
        <v>56905059.286386743</v>
      </c>
      <c r="P15" s="35">
        <f t="shared" si="5"/>
        <v>62315007</v>
      </c>
      <c r="Q15" s="42"/>
      <c r="R15" s="116" t="e">
        <f t="shared" si="6"/>
        <v>#DIV/0!</v>
      </c>
      <c r="S15" s="116" t="e">
        <f t="shared" si="7"/>
        <v>#DIV/0!</v>
      </c>
      <c r="T15" s="116">
        <f t="shared" si="8"/>
        <v>-0.23309341368432684</v>
      </c>
      <c r="U15" s="116"/>
      <c r="V15" s="116"/>
      <c r="W15" s="116"/>
    </row>
    <row r="16" spans="1:23">
      <c r="A16" s="69" t="s">
        <v>14</v>
      </c>
      <c r="B16" s="76">
        <v>13435429</v>
      </c>
      <c r="C16" s="76">
        <v>31530048</v>
      </c>
      <c r="D16" s="104">
        <v>33370483</v>
      </c>
      <c r="E16" s="32"/>
      <c r="F16" s="6"/>
      <c r="G16" s="6"/>
      <c r="H16" s="32"/>
      <c r="I16" s="42"/>
      <c r="J16" s="42"/>
      <c r="K16" s="35">
        <f t="shared" si="0"/>
        <v>37264942.177476607</v>
      </c>
      <c r="L16" s="35">
        <f t="shared" si="1"/>
        <v>37766491.626738079</v>
      </c>
      <c r="M16" s="35">
        <f t="shared" si="2"/>
        <v>0</v>
      </c>
      <c r="N16" s="35">
        <f t="shared" si="3"/>
        <v>0</v>
      </c>
      <c r="O16" s="35">
        <f t="shared" si="4"/>
        <v>0</v>
      </c>
      <c r="P16" s="35">
        <f t="shared" si="5"/>
        <v>0</v>
      </c>
      <c r="Q16" s="42"/>
      <c r="R16" s="116">
        <f t="shared" si="6"/>
        <v>1.3459015899523235E-2</v>
      </c>
      <c r="S16" s="116">
        <f t="shared" si="7"/>
        <v>-1</v>
      </c>
      <c r="T16" s="116" t="e">
        <f t="shared" si="8"/>
        <v>#DIV/0!</v>
      </c>
      <c r="U16" s="116"/>
      <c r="V16" s="116"/>
      <c r="W16" s="116"/>
    </row>
    <row r="17" spans="1:23">
      <c r="A17" s="69" t="s">
        <v>7</v>
      </c>
      <c r="B17" s="76">
        <v>9075500</v>
      </c>
      <c r="C17" s="76">
        <v>22209799</v>
      </c>
      <c r="D17" s="104">
        <v>23032515</v>
      </c>
      <c r="E17" s="76">
        <v>24688025</v>
      </c>
      <c r="F17" s="76">
        <v>27632075</v>
      </c>
      <c r="G17" s="76">
        <v>29262499</v>
      </c>
      <c r="H17" s="76">
        <v>34314965</v>
      </c>
      <c r="I17" s="42"/>
      <c r="J17" s="42"/>
      <c r="K17" s="35">
        <f t="shared" si="0"/>
        <v>26249464.495213509</v>
      </c>
      <c r="L17" s="35">
        <f t="shared" si="1"/>
        <v>26066667.506437324</v>
      </c>
      <c r="M17" s="35">
        <f t="shared" si="2"/>
        <v>27531921.11032173</v>
      </c>
      <c r="N17" s="35">
        <f t="shared" si="3"/>
        <v>29910475.825041864</v>
      </c>
      <c r="O17" s="35">
        <f t="shared" si="4"/>
        <v>30270790.718508754</v>
      </c>
      <c r="P17" s="35">
        <f t="shared" si="5"/>
        <v>34314965</v>
      </c>
      <c r="Q17" s="42"/>
      <c r="R17" s="116">
        <f t="shared" si="6"/>
        <v>-6.9638368740633531E-3</v>
      </c>
      <c r="S17" s="116">
        <f t="shared" si="7"/>
        <v>5.6211773274146108E-2</v>
      </c>
      <c r="T17" s="116">
        <f t="shared" si="8"/>
        <v>-8.6392616962294444E-2</v>
      </c>
      <c r="U17" s="116"/>
      <c r="V17" s="116"/>
      <c r="W17" s="116"/>
    </row>
    <row r="18" spans="1:23">
      <c r="A18" s="69" t="s">
        <v>13</v>
      </c>
      <c r="B18" s="76">
        <v>12496006</v>
      </c>
      <c r="C18" s="76">
        <v>21895775</v>
      </c>
      <c r="D18" s="76">
        <v>24944353</v>
      </c>
      <c r="E18" s="94"/>
      <c r="F18" s="6"/>
      <c r="G18" s="6"/>
      <c r="H18" s="32"/>
      <c r="I18" s="42"/>
      <c r="J18" s="42"/>
      <c r="K18" s="35">
        <f t="shared" si="0"/>
        <v>25878323.72808433</v>
      </c>
      <c r="L18" s="35">
        <f t="shared" si="1"/>
        <v>28230358.509012256</v>
      </c>
      <c r="M18" s="35">
        <f t="shared" si="2"/>
        <v>0</v>
      </c>
      <c r="N18" s="35">
        <f t="shared" si="3"/>
        <v>0</v>
      </c>
      <c r="O18" s="35">
        <f t="shared" si="4"/>
        <v>0</v>
      </c>
      <c r="P18" s="35">
        <f t="shared" si="5"/>
        <v>0</v>
      </c>
      <c r="Q18" s="42"/>
      <c r="R18" s="116">
        <f t="shared" si="6"/>
        <v>9.0888220026994704E-2</v>
      </c>
      <c r="S18" s="116">
        <f t="shared" si="7"/>
        <v>-1</v>
      </c>
      <c r="T18" s="116" t="e">
        <f t="shared" si="8"/>
        <v>#DIV/0!</v>
      </c>
      <c r="U18" s="116"/>
      <c r="V18" s="116"/>
      <c r="W18" s="116"/>
    </row>
    <row r="19" spans="1:23">
      <c r="A19" s="69" t="s">
        <v>0</v>
      </c>
      <c r="B19" s="6"/>
      <c r="C19" s="6"/>
      <c r="D19" s="6"/>
      <c r="E19" s="76">
        <v>30081292</v>
      </c>
      <c r="F19" s="76">
        <v>33838727</v>
      </c>
      <c r="G19" s="76">
        <v>29586540</v>
      </c>
      <c r="H19" s="76">
        <v>50408538</v>
      </c>
      <c r="I19" s="42"/>
      <c r="J19" s="42"/>
      <c r="K19" s="35">
        <f t="shared" si="0"/>
        <v>0</v>
      </c>
      <c r="L19" s="35">
        <f t="shared" si="1"/>
        <v>0</v>
      </c>
      <c r="M19" s="35">
        <f t="shared" si="2"/>
        <v>33546456.561047398</v>
      </c>
      <c r="N19" s="35">
        <f t="shared" si="3"/>
        <v>36628896.884641908</v>
      </c>
      <c r="O19" s="35">
        <f t="shared" si="4"/>
        <v>30605997.130483903</v>
      </c>
      <c r="P19" s="35">
        <f t="shared" si="5"/>
        <v>50408538</v>
      </c>
      <c r="Q19" s="42"/>
      <c r="R19" s="116" t="e">
        <f t="shared" si="6"/>
        <v>#DIV/0!</v>
      </c>
      <c r="S19" s="116" t="e">
        <f t="shared" si="7"/>
        <v>#DIV/0!</v>
      </c>
      <c r="T19" s="116">
        <f t="shared" si="8"/>
        <v>-9.1885720269296589E-2</v>
      </c>
      <c r="U19" s="116"/>
      <c r="V19" s="116"/>
      <c r="W19" s="116"/>
    </row>
    <row r="20" spans="1:23" ht="24">
      <c r="A20" s="69" t="s">
        <v>12</v>
      </c>
      <c r="B20" s="6"/>
      <c r="C20" s="6"/>
      <c r="D20" s="6"/>
      <c r="E20" s="6"/>
      <c r="F20" s="76">
        <v>0</v>
      </c>
      <c r="G20" s="76">
        <v>5600804</v>
      </c>
      <c r="H20" s="76">
        <v>5861743</v>
      </c>
      <c r="I20" s="42"/>
      <c r="J20" s="42"/>
      <c r="K20" s="35">
        <f t="shared" si="0"/>
        <v>0</v>
      </c>
      <c r="L20" s="35">
        <f t="shared" si="1"/>
        <v>0</v>
      </c>
      <c r="M20" s="35">
        <f t="shared" si="2"/>
        <v>0</v>
      </c>
      <c r="N20" s="35">
        <f t="shared" si="3"/>
        <v>0</v>
      </c>
      <c r="O20" s="35">
        <f t="shared" si="4"/>
        <v>5793789.7149312748</v>
      </c>
      <c r="P20" s="35">
        <f t="shared" si="5"/>
        <v>5861743</v>
      </c>
      <c r="Q20" s="42"/>
      <c r="R20" s="116" t="e">
        <f t="shared" si="6"/>
        <v>#DIV/0!</v>
      </c>
      <c r="S20" s="116" t="e">
        <f t="shared" si="7"/>
        <v>#DIV/0!</v>
      </c>
      <c r="T20" s="116" t="e">
        <f t="shared" si="8"/>
        <v>#DIV/0!</v>
      </c>
      <c r="U20" s="116"/>
      <c r="V20" s="116"/>
      <c r="W20" s="116"/>
    </row>
    <row r="21" spans="1:23">
      <c r="A21" s="70" t="s">
        <v>11</v>
      </c>
      <c r="B21" s="85">
        <f t="shared" ref="B21" si="9">SUM(B3:B20)</f>
        <v>761722549</v>
      </c>
      <c r="C21" s="85">
        <v>1299589536</v>
      </c>
      <c r="D21" s="85">
        <v>1533196652</v>
      </c>
      <c r="E21" s="85">
        <v>1657552708</v>
      </c>
      <c r="F21" s="85">
        <v>1791159426</v>
      </c>
      <c r="G21" s="85">
        <v>1925546558</v>
      </c>
      <c r="H21" s="85">
        <v>2130063994</v>
      </c>
      <c r="I21" s="42"/>
      <c r="J21" s="42"/>
      <c r="K21" s="35">
        <f t="shared" si="0"/>
        <v>1535967497.2107131</v>
      </c>
      <c r="L21" s="35">
        <f t="shared" si="1"/>
        <v>1735169926.0661242</v>
      </c>
      <c r="M21" s="35">
        <f t="shared" si="2"/>
        <v>1848491744.1899929</v>
      </c>
      <c r="N21" s="35">
        <f t="shared" si="3"/>
        <v>1938849352.072505</v>
      </c>
      <c r="O21" s="35">
        <f>G21*$D$32</f>
        <v>1991894707.1459236</v>
      </c>
      <c r="P21" s="35">
        <f>H21*$D$33</f>
        <v>2130063994</v>
      </c>
      <c r="Q21" s="42"/>
      <c r="R21" s="116">
        <f t="shared" si="6"/>
        <v>0.12969182565201332</v>
      </c>
      <c r="S21" s="116">
        <f t="shared" si="7"/>
        <v>6.5308772600033066E-2</v>
      </c>
      <c r="T21" s="116">
        <f t="shared" si="8"/>
        <v>-4.8881802240402596E-2</v>
      </c>
      <c r="U21" s="116"/>
      <c r="V21" s="116"/>
      <c r="W21" s="116"/>
    </row>
    <row r="22" spans="1:23">
      <c r="J22" s="106"/>
    </row>
    <row r="24" spans="1:23">
      <c r="A24" s="107" t="s">
        <v>98</v>
      </c>
      <c r="B24"/>
      <c r="C24"/>
    </row>
    <row r="25" spans="1:23">
      <c r="A25"/>
      <c r="B25"/>
      <c r="C25"/>
    </row>
    <row r="26" spans="1:23" ht="75">
      <c r="A26" s="108" t="s">
        <v>99</v>
      </c>
      <c r="B26" s="109" t="s">
        <v>100</v>
      </c>
      <c r="C26" s="110"/>
      <c r="D26" s="68"/>
      <c r="E26" s="98"/>
    </row>
    <row r="27" spans="1:23" ht="15.75">
      <c r="A27" s="111">
        <v>40148</v>
      </c>
      <c r="B27" s="112">
        <v>90.28</v>
      </c>
      <c r="C27" s="110"/>
      <c r="D27" s="113">
        <f>$B$33/B27</f>
        <v>1.2171023482498893</v>
      </c>
      <c r="E27" s="98"/>
    </row>
    <row r="28" spans="1:23" ht="15.75">
      <c r="A28" s="111">
        <v>40513</v>
      </c>
      <c r="B28" s="112">
        <v>92.97</v>
      </c>
      <c r="C28" s="110"/>
      <c r="D28" s="113">
        <f t="shared" ref="D28:D33" si="10">$B$33/B28</f>
        <v>1.1818866300957298</v>
      </c>
      <c r="E28" s="98"/>
    </row>
    <row r="29" spans="1:23" ht="15.75">
      <c r="A29" s="111">
        <v>40878</v>
      </c>
      <c r="B29" s="112">
        <v>97.09</v>
      </c>
      <c r="C29" s="110"/>
      <c r="D29" s="113">
        <f t="shared" si="10"/>
        <v>1.1317334431970336</v>
      </c>
      <c r="E29" s="98"/>
    </row>
    <row r="30" spans="1:23" ht="15.75">
      <c r="A30" s="111">
        <v>41244</v>
      </c>
      <c r="B30" s="112">
        <v>98.53</v>
      </c>
      <c r="C30" s="110"/>
      <c r="D30" s="113">
        <f t="shared" si="10"/>
        <v>1.1151933421293008</v>
      </c>
      <c r="E30" s="98"/>
    </row>
    <row r="31" spans="1:23" ht="15.75">
      <c r="A31" s="111">
        <v>41609</v>
      </c>
      <c r="B31" s="112">
        <v>101.51</v>
      </c>
      <c r="C31" s="110"/>
      <c r="D31" s="113">
        <f t="shared" si="10"/>
        <v>1.0824549305487143</v>
      </c>
      <c r="E31" s="98"/>
    </row>
    <row r="32" spans="1:23" ht="15.75">
      <c r="A32" s="111">
        <v>41974</v>
      </c>
      <c r="B32" s="112">
        <v>106.22</v>
      </c>
      <c r="C32" s="110"/>
      <c r="D32" s="113">
        <f t="shared" si="10"/>
        <v>1.0344567877989079</v>
      </c>
      <c r="E32" s="98"/>
    </row>
    <row r="33" spans="1:5" ht="15.75">
      <c r="A33" s="111">
        <v>42217</v>
      </c>
      <c r="B33" s="112">
        <v>109.88</v>
      </c>
      <c r="C33" s="110"/>
      <c r="D33" s="113">
        <f t="shared" si="10"/>
        <v>1</v>
      </c>
      <c r="E33" s="98"/>
    </row>
  </sheetData>
  <mergeCells count="2">
    <mergeCell ref="B1:I1"/>
    <mergeCell ref="J1:Q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O45"/>
  <sheetViews>
    <sheetView topLeftCell="A7" zoomScale="95" zoomScaleNormal="95" workbookViewId="0">
      <selection activeCell="H24" sqref="H24"/>
    </sheetView>
  </sheetViews>
  <sheetFormatPr baseColWidth="10" defaultRowHeight="12"/>
  <cols>
    <col min="1" max="1" width="22.7109375" style="33" customWidth="1"/>
    <col min="2" max="11" width="13.7109375" style="33" customWidth="1"/>
    <col min="12" max="12" width="15.7109375" style="33" bestFit="1" customWidth="1"/>
    <col min="13" max="13" width="5.7109375" style="33" customWidth="1"/>
    <col min="14" max="14" width="17.5703125" style="33" bestFit="1" customWidth="1"/>
    <col min="15" max="16384" width="11.42578125" style="33"/>
  </cols>
  <sheetData>
    <row r="2" spans="1:15" ht="18.75" customHeight="1"/>
    <row r="3" spans="1:15" ht="48">
      <c r="B3" s="2" t="s">
        <v>16</v>
      </c>
      <c r="C3" s="2" t="s">
        <v>52</v>
      </c>
      <c r="D3" s="2" t="s">
        <v>21</v>
      </c>
      <c r="E3" s="2" t="s">
        <v>52</v>
      </c>
      <c r="F3" s="2" t="s">
        <v>22</v>
      </c>
      <c r="G3" s="2" t="s">
        <v>52</v>
      </c>
      <c r="H3" s="2" t="s">
        <v>17</v>
      </c>
      <c r="I3" s="2" t="s">
        <v>53</v>
      </c>
      <c r="J3" s="2" t="s">
        <v>28</v>
      </c>
      <c r="K3" s="2" t="s">
        <v>53</v>
      </c>
      <c r="L3" s="2" t="s">
        <v>54</v>
      </c>
      <c r="N3" s="24" t="s">
        <v>34</v>
      </c>
      <c r="O3" s="22" t="s">
        <v>33</v>
      </c>
    </row>
    <row r="4" spans="1:15">
      <c r="A4" s="3" t="s">
        <v>3</v>
      </c>
      <c r="B4" s="4">
        <v>563888414</v>
      </c>
      <c r="C4" s="5">
        <f>B4*O4</f>
        <v>653705819.77447939</v>
      </c>
      <c r="D4" s="34">
        <v>696502494</v>
      </c>
      <c r="E4" s="5">
        <f>D4*O5</f>
        <v>784080359.49273968</v>
      </c>
      <c r="F4" s="35">
        <v>759840320</v>
      </c>
      <c r="G4" s="5">
        <f>F4*O6</f>
        <v>819084230.00514972</v>
      </c>
      <c r="H4" s="5">
        <v>792694615</v>
      </c>
      <c r="I4" s="5">
        <f>H4*O7</f>
        <v>842011756.88521254</v>
      </c>
      <c r="J4" s="5">
        <v>827371506</v>
      </c>
      <c r="K4" s="5">
        <f>J4*O9</f>
        <v>853046023.2288444</v>
      </c>
      <c r="L4" s="5">
        <v>873948314</v>
      </c>
      <c r="N4" s="23" t="s">
        <v>35</v>
      </c>
      <c r="O4" s="25">
        <f>presupuesto!B33/presupuesto!B28</f>
        <v>1.1592822330527248</v>
      </c>
    </row>
    <row r="5" spans="1:15">
      <c r="A5" s="3" t="s">
        <v>6</v>
      </c>
      <c r="B5" s="5">
        <v>39913868</v>
      </c>
      <c r="C5" s="5">
        <f>B5*O4</f>
        <v>46271438.024811693</v>
      </c>
      <c r="D5" s="36">
        <v>41216101</v>
      </c>
      <c r="E5" s="5">
        <f>D5*O5</f>
        <v>46398592.348714642</v>
      </c>
      <c r="F5" s="35">
        <v>41897771</v>
      </c>
      <c r="G5" s="5">
        <f>F5*O6</f>
        <v>45164493.901122659</v>
      </c>
      <c r="H5" s="5">
        <v>44273690</v>
      </c>
      <c r="I5" s="5">
        <f>H5*O7</f>
        <v>47028157.874758951</v>
      </c>
      <c r="J5" s="5">
        <v>45177781</v>
      </c>
      <c r="K5" s="5">
        <f>J5*O9</f>
        <v>46579711.944241941</v>
      </c>
      <c r="L5" s="5">
        <v>47703315</v>
      </c>
      <c r="N5" s="23" t="s">
        <v>59</v>
      </c>
      <c r="O5" s="25">
        <f>presupuesto!B33/presupuesto!B29</f>
        <v>1.1257394858556524</v>
      </c>
    </row>
    <row r="6" spans="1:15">
      <c r="A6" s="3" t="s">
        <v>4</v>
      </c>
      <c r="B6" s="5">
        <v>192716737</v>
      </c>
      <c r="C6" s="5">
        <f>B6*O4</f>
        <v>223413089.21599469</v>
      </c>
      <c r="D6" s="36">
        <v>236827278</v>
      </c>
      <c r="E6" s="5">
        <f>D6*O5</f>
        <v>266605818.17231366</v>
      </c>
      <c r="F6" s="35">
        <v>258994773</v>
      </c>
      <c r="G6" s="5">
        <f>F6*O6</f>
        <v>279188309.22010499</v>
      </c>
      <c r="H6" s="5">
        <v>276456718</v>
      </c>
      <c r="I6" s="5">
        <f>H6*O7</f>
        <v>293656349.39490509</v>
      </c>
      <c r="J6" s="5">
        <v>301087729</v>
      </c>
      <c r="K6" s="5">
        <f>J6*O9</f>
        <v>310430910.42399764</v>
      </c>
      <c r="L6" s="5">
        <v>340971488</v>
      </c>
      <c r="N6" s="23" t="s">
        <v>60</v>
      </c>
      <c r="O6" s="25">
        <f>presupuesto!B33/presupuesto!B30</f>
        <v>1.0779688948398392</v>
      </c>
    </row>
    <row r="7" spans="1:15" ht="24">
      <c r="A7" s="3" t="s">
        <v>9</v>
      </c>
      <c r="B7" s="5">
        <v>5755841</v>
      </c>
      <c r="C7" s="5">
        <f>B7*O4</f>
        <v>6672644.2075764285</v>
      </c>
      <c r="D7" s="36">
        <v>7479643</v>
      </c>
      <c r="E7" s="5">
        <f>D7*O5</f>
        <v>8420129.4652038291</v>
      </c>
      <c r="F7" s="35">
        <v>9354733</v>
      </c>
      <c r="G7" s="5">
        <f>F7*O6</f>
        <v>10084111.193531772</v>
      </c>
      <c r="H7" s="5">
        <v>30235795</v>
      </c>
      <c r="I7" s="5">
        <f>H7*O7</f>
        <v>32116901.499035824</v>
      </c>
      <c r="J7" s="5">
        <v>37029713</v>
      </c>
      <c r="K7" s="5">
        <f>J7*O9</f>
        <v>38178797.779332086</v>
      </c>
      <c r="L7" s="5">
        <v>38364489</v>
      </c>
      <c r="N7" s="23" t="s">
        <v>36</v>
      </c>
      <c r="O7" s="25">
        <f>presupuesto!B33/presupuesto!B31</f>
        <v>1.0622145539429615</v>
      </c>
    </row>
    <row r="8" spans="1:15" ht="24">
      <c r="A8" s="3" t="s">
        <v>70</v>
      </c>
      <c r="B8" s="5">
        <v>23968642</v>
      </c>
      <c r="C8" s="5">
        <f>B8*O4</f>
        <v>27786420.821001329</v>
      </c>
      <c r="D8" s="50">
        <v>33359217</v>
      </c>
      <c r="E8" s="5">
        <f>D8*O5</f>
        <v>37553787.794127136</v>
      </c>
      <c r="F8" s="35">
        <v>28461341</v>
      </c>
      <c r="G8" s="5">
        <f>F8*O6</f>
        <v>30680440.303429801</v>
      </c>
      <c r="H8" s="5">
        <v>24412381</v>
      </c>
      <c r="I8" s="5">
        <f>H8*O7</f>
        <v>25931186.39460063</v>
      </c>
      <c r="J8" s="5">
        <v>32160950</v>
      </c>
      <c r="K8" s="5">
        <f>J8*O9</f>
        <v>33158950.123140574</v>
      </c>
      <c r="L8" s="5">
        <v>31438861</v>
      </c>
      <c r="N8" s="23"/>
      <c r="O8" s="25"/>
    </row>
    <row r="9" spans="1:15">
      <c r="A9" s="3" t="s">
        <v>8</v>
      </c>
      <c r="B9" s="5">
        <v>102543779</v>
      </c>
      <c r="C9" s="5">
        <f>B9*O4</f>
        <v>118877181.10478511</v>
      </c>
      <c r="D9" s="35">
        <v>112713936</v>
      </c>
      <c r="E9" s="5">
        <f>D9*O5</f>
        <v>126886528.36140691</v>
      </c>
      <c r="F9" s="35">
        <v>116732889</v>
      </c>
      <c r="G9" s="5">
        <f>F9*O6</f>
        <v>125834423.34679161</v>
      </c>
      <c r="H9" s="5">
        <v>125160080</v>
      </c>
      <c r="I9" s="5">
        <f>H9*O7</f>
        <v>132946858.54866537</v>
      </c>
      <c r="J9" s="5">
        <v>129227014</v>
      </c>
      <c r="K9" s="5">
        <f>J9*O9</f>
        <v>133237112.45433946</v>
      </c>
      <c r="L9" s="5">
        <v>146359828</v>
      </c>
      <c r="N9" s="23" t="s">
        <v>37</v>
      </c>
      <c r="O9" s="37">
        <f>presupuesto!B33/presupuesto!B32</f>
        <v>1.0310314254753226</v>
      </c>
    </row>
    <row r="10" spans="1:15">
      <c r="A10" s="3" t="s">
        <v>2</v>
      </c>
      <c r="B10" s="38">
        <v>159616987</v>
      </c>
      <c r="C10" s="5">
        <f>B10*O4</f>
        <v>185041137.12250775</v>
      </c>
      <c r="D10" s="34">
        <v>178223032</v>
      </c>
      <c r="E10" s="5">
        <f>D10*O5</f>
        <v>200632704.4113155</v>
      </c>
      <c r="F10" s="35">
        <v>192603757</v>
      </c>
      <c r="G10" s="5">
        <f>F10*O6</f>
        <v>207620859.07529095</v>
      </c>
      <c r="H10" s="5">
        <v>214497712</v>
      </c>
      <c r="I10" s="5">
        <f>H10*O7</f>
        <v>227842591.47386581</v>
      </c>
      <c r="J10" s="5">
        <v>233812020</v>
      </c>
      <c r="K10" s="5">
        <f>J10*O9</f>
        <v>241067540.27386463</v>
      </c>
      <c r="L10" s="5">
        <v>256205613</v>
      </c>
    </row>
    <row r="11" spans="1:15">
      <c r="A11" s="3" t="s">
        <v>18</v>
      </c>
      <c r="B11" s="6"/>
      <c r="C11" s="7"/>
      <c r="D11" s="32"/>
      <c r="E11" s="6"/>
      <c r="F11" s="31"/>
      <c r="G11" s="7"/>
      <c r="H11" s="5">
        <v>683998</v>
      </c>
      <c r="I11" s="5">
        <f>H11*O7</f>
        <v>726552.63046787772</v>
      </c>
      <c r="J11" s="5">
        <v>3092118</v>
      </c>
      <c r="K11" s="5">
        <f>J11*O9</f>
        <v>3188070.8292779033</v>
      </c>
      <c r="L11" s="7"/>
    </row>
    <row r="12" spans="1:15" ht="24">
      <c r="A12" s="3" t="s">
        <v>29</v>
      </c>
      <c r="B12" s="6"/>
      <c r="C12" s="7"/>
      <c r="D12" s="6"/>
      <c r="E12" s="6"/>
      <c r="F12" s="6"/>
      <c r="G12" s="6"/>
      <c r="H12" s="7"/>
      <c r="I12" s="7"/>
      <c r="J12" s="7"/>
      <c r="K12" s="7"/>
      <c r="L12" s="5">
        <v>3086380</v>
      </c>
      <c r="N12" s="34">
        <f>+L7+L6</f>
        <v>379335977</v>
      </c>
    </row>
    <row r="13" spans="1:15">
      <c r="A13" s="3" t="s">
        <v>30</v>
      </c>
      <c r="B13" s="6"/>
      <c r="C13" s="7"/>
      <c r="D13" s="6"/>
      <c r="E13" s="6"/>
      <c r="F13" s="6"/>
      <c r="G13" s="6"/>
      <c r="H13" s="7"/>
      <c r="I13" s="7"/>
      <c r="J13" s="7"/>
      <c r="K13" s="7"/>
      <c r="L13" s="5">
        <v>2942689</v>
      </c>
      <c r="N13" s="61">
        <f>+L7/N12</f>
        <v>0.101135909394642</v>
      </c>
    </row>
    <row r="14" spans="1:15">
      <c r="A14" s="3" t="s">
        <v>5</v>
      </c>
      <c r="B14" s="29">
        <v>90599680</v>
      </c>
      <c r="C14" s="29">
        <f>B14*O4</f>
        <v>105030599.34426229</v>
      </c>
      <c r="D14" s="39">
        <v>94246107</v>
      </c>
      <c r="E14" s="29">
        <f>D14*O5</f>
        <v>106096564.0380768</v>
      </c>
      <c r="F14" s="40">
        <v>102920792</v>
      </c>
      <c r="G14" s="29">
        <f>F14*O6</f>
        <v>110945412.40828095</v>
      </c>
      <c r="H14" s="29">
        <v>114561582</v>
      </c>
      <c r="I14" s="29">
        <f>H14*O7</f>
        <v>121688979.72313</v>
      </c>
      <c r="J14" s="29">
        <v>133360239</v>
      </c>
      <c r="K14" s="29">
        <f>J14*O9</f>
        <v>137498597.3178997</v>
      </c>
      <c r="L14" s="5">
        <v>159418456</v>
      </c>
    </row>
    <row r="15" spans="1:15" ht="36">
      <c r="A15" s="3" t="s">
        <v>10</v>
      </c>
      <c r="B15" s="5">
        <v>44949966</v>
      </c>
      <c r="C15" s="29">
        <f>B15*O4</f>
        <v>52109696.960124061</v>
      </c>
      <c r="D15" s="36">
        <v>51281493</v>
      </c>
      <c r="E15" s="29">
        <f>D15*O5</f>
        <v>57729601.56373024</v>
      </c>
      <c r="F15" s="35">
        <v>54901555</v>
      </c>
      <c r="G15" s="29">
        <f>F15*O6</f>
        <v>59182168.568338647</v>
      </c>
      <c r="H15" s="5">
        <v>59611840</v>
      </c>
      <c r="I15" s="29">
        <f>H15*O7</f>
        <v>63320564.035319187</v>
      </c>
      <c r="J15" s="5">
        <v>63768040</v>
      </c>
      <c r="K15" s="29">
        <f>J15*O9</f>
        <v>65746853.180967391</v>
      </c>
      <c r="L15" s="5">
        <v>76724308</v>
      </c>
    </row>
    <row r="16" spans="1:15">
      <c r="A16" s="3" t="s">
        <v>1</v>
      </c>
      <c r="B16" s="6"/>
      <c r="C16" s="7"/>
      <c r="D16" s="32"/>
      <c r="E16" s="6"/>
      <c r="F16" s="35">
        <v>37075460</v>
      </c>
      <c r="G16" s="29">
        <f>F16*O6</f>
        <v>39966192.641878664</v>
      </c>
      <c r="H16" s="5">
        <v>47100213</v>
      </c>
      <c r="I16" s="29">
        <f>H16*O7</f>
        <v>50030531.742413476</v>
      </c>
      <c r="J16" s="5">
        <v>55009605</v>
      </c>
      <c r="K16" s="29">
        <f>J16*O9</f>
        <v>56716631.457984433</v>
      </c>
      <c r="L16" s="5">
        <v>62315007</v>
      </c>
    </row>
    <row r="17" spans="1:12">
      <c r="A17" s="3" t="s">
        <v>14</v>
      </c>
      <c r="B17" s="5">
        <v>31530048</v>
      </c>
      <c r="C17" s="5">
        <f>B17*O4</f>
        <v>36552224.453699604</v>
      </c>
      <c r="D17" s="36">
        <v>33370483</v>
      </c>
      <c r="E17" s="5">
        <f>D17*O5</f>
        <v>37566470.375174791</v>
      </c>
      <c r="F17" s="32"/>
      <c r="G17" s="6"/>
      <c r="H17" s="6"/>
      <c r="I17" s="6"/>
      <c r="J17" s="6"/>
      <c r="K17" s="6"/>
      <c r="L17" s="31"/>
    </row>
    <row r="18" spans="1:12">
      <c r="A18" s="3" t="s">
        <v>7</v>
      </c>
      <c r="B18" s="5">
        <v>22209799</v>
      </c>
      <c r="C18" s="5">
        <f>B18*O4</f>
        <v>25747425.380372174</v>
      </c>
      <c r="D18" s="36">
        <v>23032515</v>
      </c>
      <c r="E18" s="5">
        <f>D18*O5</f>
        <v>25928611.594062604</v>
      </c>
      <c r="F18" s="35">
        <v>24688025</v>
      </c>
      <c r="G18" s="5">
        <f>F18*O6</f>
        <v>26612923.025028318</v>
      </c>
      <c r="H18" s="5">
        <v>27632075</v>
      </c>
      <c r="I18" s="5">
        <f>H18*O7</f>
        <v>29351192.220643457</v>
      </c>
      <c r="J18" s="5">
        <v>29262499</v>
      </c>
      <c r="K18" s="5">
        <f>J18*O9</f>
        <v>30170556.056940202</v>
      </c>
      <c r="L18" s="5">
        <v>34314965</v>
      </c>
    </row>
    <row r="19" spans="1:12" ht="24">
      <c r="A19" s="3" t="s">
        <v>13</v>
      </c>
      <c r="B19" s="5">
        <v>21895775</v>
      </c>
      <c r="C19" s="5">
        <f>B19*O4</f>
        <v>25383382.936420027</v>
      </c>
      <c r="D19" s="5">
        <v>24944353</v>
      </c>
      <c r="E19" s="5">
        <f>D19*O5</f>
        <v>28080843.1212219</v>
      </c>
      <c r="F19" s="7"/>
      <c r="G19" s="7"/>
      <c r="H19" s="6"/>
      <c r="I19" s="6"/>
      <c r="J19" s="6"/>
      <c r="K19" s="6"/>
      <c r="L19" s="31"/>
    </row>
    <row r="20" spans="1:12">
      <c r="A20" s="3" t="s">
        <v>0</v>
      </c>
      <c r="B20" s="6"/>
      <c r="C20" s="7"/>
      <c r="D20" s="6"/>
      <c r="E20" s="6"/>
      <c r="F20" s="35">
        <v>30081292</v>
      </c>
      <c r="G20" s="5">
        <f>F20*O6</f>
        <v>32426697.092594493</v>
      </c>
      <c r="H20" s="5">
        <v>33838727</v>
      </c>
      <c r="I20" s="5">
        <f>H20*O7</f>
        <v>35943988.306302644</v>
      </c>
      <c r="J20" s="5">
        <v>29586540</v>
      </c>
      <c r="K20" s="5">
        <f>J20*O9</f>
        <v>30504652.511082649</v>
      </c>
      <c r="L20" s="5">
        <v>50408538</v>
      </c>
    </row>
    <row r="21" spans="1:12" ht="48">
      <c r="A21" s="3" t="s">
        <v>12</v>
      </c>
      <c r="B21" s="6"/>
      <c r="C21" s="7"/>
      <c r="D21" s="6"/>
      <c r="E21" s="6"/>
      <c r="F21" s="6"/>
      <c r="G21" s="6"/>
      <c r="H21" s="5">
        <v>0</v>
      </c>
      <c r="I21" s="5">
        <f>H21*O7</f>
        <v>0</v>
      </c>
      <c r="J21" s="5">
        <v>5600804</v>
      </c>
      <c r="K21" s="5">
        <f>J21*O9</f>
        <v>5774604.9319278887</v>
      </c>
      <c r="L21" s="5">
        <v>5861743</v>
      </c>
    </row>
    <row r="22" spans="1:12" s="41" customFormat="1" ht="21" customHeight="1">
      <c r="A22" s="8" t="s">
        <v>11</v>
      </c>
      <c r="B22" s="9">
        <f t="shared" ref="B22:J22" si="0">SUM(B4:B21)</f>
        <v>1299589536</v>
      </c>
      <c r="C22" s="9">
        <f t="shared" si="0"/>
        <v>1506591059.3460348</v>
      </c>
      <c r="D22" s="9">
        <f t="shared" si="0"/>
        <v>1533196652</v>
      </c>
      <c r="E22" s="9">
        <f t="shared" si="0"/>
        <v>1725980010.7380877</v>
      </c>
      <c r="F22" s="9">
        <f t="shared" si="0"/>
        <v>1657552708</v>
      </c>
      <c r="G22" s="9">
        <f t="shared" si="0"/>
        <v>1786790260.7815421</v>
      </c>
      <c r="H22" s="9">
        <f t="shared" si="0"/>
        <v>1791159426</v>
      </c>
      <c r="I22" s="10">
        <f>SUM(I4:I21)</f>
        <v>1902595610.7293208</v>
      </c>
      <c r="J22" s="9">
        <f t="shared" si="0"/>
        <v>1925546558</v>
      </c>
      <c r="K22" s="10">
        <f>SUM(K4:K21)</f>
        <v>1985299012.5138412</v>
      </c>
      <c r="L22" s="10">
        <f>SUM(L4:L21)</f>
        <v>2130063994</v>
      </c>
    </row>
    <row r="23" spans="1:12" s="41" customFormat="1" ht="24">
      <c r="A23" s="30" t="s">
        <v>56</v>
      </c>
      <c r="B23" s="11"/>
      <c r="C23" s="11"/>
      <c r="D23" s="11"/>
      <c r="E23" s="11"/>
      <c r="F23" s="11"/>
      <c r="G23" s="11"/>
      <c r="H23" s="11"/>
      <c r="I23" s="12"/>
      <c r="J23" s="11"/>
      <c r="K23" s="11">
        <f>K22*1000/598.64</f>
        <v>3316348744.6776714</v>
      </c>
      <c r="L23" s="11">
        <f>L22*1000/592</f>
        <v>3598081070.9459457</v>
      </c>
    </row>
    <row r="24" spans="1:12">
      <c r="L24" s="34">
        <f>L23-K23</f>
        <v>281732326.26827431</v>
      </c>
    </row>
    <row r="25" spans="1:12">
      <c r="A25" s="42"/>
      <c r="B25" s="43" t="s">
        <v>23</v>
      </c>
      <c r="C25" s="43" t="s">
        <v>24</v>
      </c>
      <c r="D25" s="43" t="s">
        <v>25</v>
      </c>
      <c r="E25" s="43" t="s">
        <v>26</v>
      </c>
      <c r="F25" s="43" t="s">
        <v>55</v>
      </c>
    </row>
    <row r="26" spans="1:12">
      <c r="A26" s="3" t="s">
        <v>3</v>
      </c>
      <c r="B26" s="44">
        <f>(E4-C4)/C4</f>
        <v>0.19943916020701472</v>
      </c>
      <c r="C26" s="44">
        <f>(G4-E4)/E4</f>
        <v>4.464321811995875E-2</v>
      </c>
      <c r="D26" s="44">
        <f>(I4-G4)/G4</f>
        <v>2.7991659514576016E-2</v>
      </c>
      <c r="E26" s="44">
        <f>(K4-I4)/I4</f>
        <v>1.3104646405948122E-2</v>
      </c>
      <c r="F26" s="44">
        <f>(L4-K4)/K4</f>
        <v>2.4503121991049003E-2</v>
      </c>
      <c r="L26" s="34">
        <f>3660958276*598.64/1000</f>
        <v>2191596062.3446398</v>
      </c>
    </row>
    <row r="27" spans="1:12">
      <c r="A27" s="3" t="s">
        <v>6</v>
      </c>
      <c r="B27" s="44">
        <f>(E5-C5)/C5</f>
        <v>2.7480089085359081E-3</v>
      </c>
      <c r="C27" s="44">
        <f>(G5-E5)/E5</f>
        <v>-2.6597756205984778E-2</v>
      </c>
      <c r="D27" s="44">
        <f>(I5-G5)/G5</f>
        <v>4.1263918017466518E-2</v>
      </c>
      <c r="E27" s="44">
        <f>(K5-I5)/I5</f>
        <v>-9.5356899096764574E-3</v>
      </c>
      <c r="F27" s="44">
        <f>(L5-K5)/K5</f>
        <v>2.412215552348335E-2</v>
      </c>
    </row>
    <row r="28" spans="1:12">
      <c r="A28" s="3" t="s">
        <v>4</v>
      </c>
      <c r="B28" s="44">
        <f>(E6-C6)/C6</f>
        <v>0.1933312372515491</v>
      </c>
      <c r="C28" s="44">
        <f>(G6-E6)/E6</f>
        <v>4.7195110497022123E-2</v>
      </c>
      <c r="D28" s="44">
        <f>(I6-G6)/G6</f>
        <v>5.1821798037373627E-2</v>
      </c>
      <c r="E28" s="44">
        <f>(K6-I6)/I6</f>
        <v>5.7123100057796972E-2</v>
      </c>
      <c r="F28" s="44">
        <f>(L6-K6)/K6</f>
        <v>9.8381238950364019E-2</v>
      </c>
      <c r="L28" s="46">
        <f>(L26-K22)/K22</f>
        <v>0.10391233186056922</v>
      </c>
    </row>
    <row r="29" spans="1:12" ht="24">
      <c r="A29" s="3" t="s">
        <v>9</v>
      </c>
      <c r="B29" s="44">
        <f>(E7-C7)/C7</f>
        <v>0.26188797173438755</v>
      </c>
      <c r="C29" s="44">
        <f>(G7-E7)/E7</f>
        <v>0.19761949447503685</v>
      </c>
      <c r="D29" s="44">
        <f>(I7-G7)/G7</f>
        <v>2.1849015627313286</v>
      </c>
      <c r="E29" s="44">
        <f>(K7-I7)/I7</f>
        <v>0.18874474178271045</v>
      </c>
      <c r="F29" s="44">
        <f>(L7-K7)/K7</f>
        <v>4.8637262425386433E-3</v>
      </c>
    </row>
    <row r="30" spans="1:12" ht="24">
      <c r="A30" s="3" t="s">
        <v>70</v>
      </c>
      <c r="B30" s="44">
        <f>(E8-C8)/C8</f>
        <v>0.35151583703589157</v>
      </c>
      <c r="C30" s="44">
        <f>(G8-E8)/E8</f>
        <v>-0.18302674362377438</v>
      </c>
      <c r="D30" s="44">
        <f>(I8-G8)/G8</f>
        <v>-0.15479744951047025</v>
      </c>
      <c r="E30" s="44">
        <f>(K8-I8)/I8</f>
        <v>0.27872861729322584</v>
      </c>
      <c r="F30" s="44">
        <f>(L8-K8)/K8</f>
        <v>-5.1874052608806155E-2</v>
      </c>
    </row>
    <row r="31" spans="1:12">
      <c r="A31" s="3" t="s">
        <v>8</v>
      </c>
      <c r="B31" s="44">
        <f t="shared" ref="B31:B44" si="1">(E9-C9)/C9</f>
        <v>6.7374976275403925E-2</v>
      </c>
      <c r="C31" s="44">
        <f t="shared" ref="C31:C44" si="2">(G9-E9)/E9</f>
        <v>-8.2916999007067137E-3</v>
      </c>
      <c r="D31" s="44">
        <f t="shared" ref="D31:D44" si="3">(I9-G9)/G9</f>
        <v>5.652217424060782E-2</v>
      </c>
      <c r="E31" s="44">
        <f t="shared" ref="E31:E44" si="4">(K9-I9)/I9</f>
        <v>2.1832325249553542E-3</v>
      </c>
      <c r="F31" s="44">
        <f t="shared" ref="F31:F44" si="5">(L9-K9)/K9</f>
        <v>9.8491443592022554E-2</v>
      </c>
    </row>
    <row r="32" spans="1:12">
      <c r="A32" s="3" t="s">
        <v>2</v>
      </c>
      <c r="B32" s="44">
        <f t="shared" si="1"/>
        <v>8.4260005808790756E-2</v>
      </c>
      <c r="C32" s="44">
        <f t="shared" si="2"/>
        <v>3.4830585992845352E-2</v>
      </c>
      <c r="D32" s="44">
        <f t="shared" si="3"/>
        <v>9.7397402595476773E-2</v>
      </c>
      <c r="E32" s="44">
        <f t="shared" si="4"/>
        <v>5.8044234462263651E-2</v>
      </c>
      <c r="F32" s="44">
        <f t="shared" si="5"/>
        <v>6.2795981196546724E-2</v>
      </c>
    </row>
    <row r="33" spans="1:6">
      <c r="A33" s="3" t="s">
        <v>18</v>
      </c>
      <c r="B33" s="44" t="s">
        <v>31</v>
      </c>
      <c r="C33" s="44" t="s">
        <v>31</v>
      </c>
      <c r="D33" s="44" t="s">
        <v>31</v>
      </c>
      <c r="E33" s="44">
        <f t="shared" si="4"/>
        <v>3.3879420369380302</v>
      </c>
      <c r="F33" s="44" t="s">
        <v>31</v>
      </c>
    </row>
    <row r="34" spans="1:6" ht="24">
      <c r="A34" s="3" t="s">
        <v>29</v>
      </c>
      <c r="B34" s="44" t="s">
        <v>31</v>
      </c>
      <c r="C34" s="44" t="s">
        <v>31</v>
      </c>
      <c r="D34" s="44" t="s">
        <v>31</v>
      </c>
      <c r="E34" s="44" t="s">
        <v>31</v>
      </c>
      <c r="F34" s="44" t="s">
        <v>31</v>
      </c>
    </row>
    <row r="35" spans="1:6">
      <c r="A35" s="3" t="s">
        <v>30</v>
      </c>
      <c r="B35" s="44" t="s">
        <v>31</v>
      </c>
      <c r="C35" s="44" t="s">
        <v>31</v>
      </c>
      <c r="D35" s="44" t="s">
        <v>31</v>
      </c>
      <c r="E35" s="44" t="s">
        <v>31</v>
      </c>
      <c r="F35" s="44" t="s">
        <v>31</v>
      </c>
    </row>
    <row r="36" spans="1:6">
      <c r="A36" s="3" t="s">
        <v>5</v>
      </c>
      <c r="B36" s="44">
        <f t="shared" si="1"/>
        <v>1.0149087032442499E-2</v>
      </c>
      <c r="C36" s="44">
        <f t="shared" si="2"/>
        <v>4.570221867377304E-2</v>
      </c>
      <c r="D36" s="44">
        <f t="shared" si="3"/>
        <v>9.683651700092423E-2</v>
      </c>
      <c r="E36" s="44">
        <f t="shared" si="4"/>
        <v>0.12991823606985747</v>
      </c>
      <c r="F36" s="44">
        <f t="shared" si="5"/>
        <v>0.15941878033432672</v>
      </c>
    </row>
    <row r="37" spans="1:6" ht="36">
      <c r="A37" s="3" t="s">
        <v>10</v>
      </c>
      <c r="B37" s="44">
        <f t="shared" si="1"/>
        <v>0.10784757792597993</v>
      </c>
      <c r="C37" s="44">
        <f t="shared" si="2"/>
        <v>2.5161562963583857E-2</v>
      </c>
      <c r="D37" s="44">
        <f t="shared" si="3"/>
        <v>6.9926391125763904E-2</v>
      </c>
      <c r="E37" s="44">
        <f t="shared" si="4"/>
        <v>3.8317554219745406E-2</v>
      </c>
      <c r="F37" s="44">
        <f t="shared" si="5"/>
        <v>0.16696547877078319</v>
      </c>
    </row>
    <row r="38" spans="1:6">
      <c r="A38" s="3" t="s">
        <v>1</v>
      </c>
      <c r="B38" s="44" t="s">
        <v>31</v>
      </c>
      <c r="C38" s="44" t="s">
        <v>31</v>
      </c>
      <c r="D38" s="44">
        <f t="shared" si="3"/>
        <v>0.25182131284601955</v>
      </c>
      <c r="E38" s="44">
        <f t="shared" si="4"/>
        <v>0.1336403888328615</v>
      </c>
      <c r="F38" s="44">
        <f t="shared" si="5"/>
        <v>9.8707828693296654E-2</v>
      </c>
    </row>
    <row r="39" spans="1:6">
      <c r="A39" s="3" t="s">
        <v>14</v>
      </c>
      <c r="B39" s="44">
        <f t="shared" si="1"/>
        <v>2.7747857664857684E-2</v>
      </c>
      <c r="C39" s="44" t="s">
        <v>31</v>
      </c>
      <c r="D39" s="44" t="s">
        <v>31</v>
      </c>
      <c r="E39" s="44" t="s">
        <v>31</v>
      </c>
      <c r="F39" s="44" t="s">
        <v>31</v>
      </c>
    </row>
    <row r="40" spans="1:6">
      <c r="A40" s="3" t="s">
        <v>7</v>
      </c>
      <c r="B40" s="44">
        <f t="shared" si="1"/>
        <v>7.037061415412515E-3</v>
      </c>
      <c r="C40" s="44">
        <f t="shared" si="2"/>
        <v>2.6392135517291436E-2</v>
      </c>
      <c r="D40" s="44">
        <f t="shared" si="3"/>
        <v>0.10289246292261521</v>
      </c>
      <c r="E40" s="44">
        <f t="shared" si="4"/>
        <v>2.7915862161144677E-2</v>
      </c>
      <c r="F40" s="44">
        <f t="shared" si="5"/>
        <v>0.1373660112607189</v>
      </c>
    </row>
    <row r="41" spans="1:6" ht="24">
      <c r="A41" s="3" t="s">
        <v>13</v>
      </c>
      <c r="B41" s="44">
        <f t="shared" si="1"/>
        <v>0.10626874249025185</v>
      </c>
      <c r="C41" s="44" t="s">
        <v>31</v>
      </c>
      <c r="D41" s="44" t="s">
        <v>31</v>
      </c>
      <c r="E41" s="44" t="s">
        <v>31</v>
      </c>
      <c r="F41" s="44" t="s">
        <v>31</v>
      </c>
    </row>
    <row r="42" spans="1:6">
      <c r="A42" s="3" t="s">
        <v>0</v>
      </c>
      <c r="B42" s="44" t="s">
        <v>31</v>
      </c>
      <c r="C42" s="44" t="s">
        <v>31</v>
      </c>
      <c r="D42" s="44">
        <f t="shared" si="3"/>
        <v>0.10846899404106806</v>
      </c>
      <c r="E42" s="44">
        <f t="shared" si="4"/>
        <v>-0.15132810941478711</v>
      </c>
      <c r="F42" s="44">
        <f t="shared" si="5"/>
        <v>0.65248687824541085</v>
      </c>
    </row>
    <row r="43" spans="1:6" ht="48">
      <c r="A43" s="3" t="s">
        <v>12</v>
      </c>
      <c r="B43" s="44" t="s">
        <v>31</v>
      </c>
      <c r="C43" s="44" t="s">
        <v>31</v>
      </c>
      <c r="D43" s="44" t="s">
        <v>31</v>
      </c>
      <c r="E43" s="44" t="s">
        <v>31</v>
      </c>
      <c r="F43" s="44">
        <f t="shared" si="5"/>
        <v>1.5089875255417646E-2</v>
      </c>
    </row>
    <row r="44" spans="1:6">
      <c r="A44" s="8" t="s">
        <v>11</v>
      </c>
      <c r="B44" s="45">
        <f t="shared" si="1"/>
        <v>0.14561944333274016</v>
      </c>
      <c r="C44" s="45">
        <f t="shared" si="2"/>
        <v>3.5232302613661143E-2</v>
      </c>
      <c r="D44" s="45">
        <f t="shared" si="3"/>
        <v>6.4811943790831633E-2</v>
      </c>
      <c r="E44" s="45">
        <f t="shared" si="4"/>
        <v>4.3468723105493629E-2</v>
      </c>
      <c r="F44" s="45">
        <f t="shared" si="5"/>
        <v>7.2918477556110486E-2</v>
      </c>
    </row>
    <row r="45" spans="1:6">
      <c r="E45" s="33">
        <f>+(B44+C44+D44+E44)/4</f>
        <v>7.228310321068164E-2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49"/>
  <sheetViews>
    <sheetView tabSelected="1" workbookViewId="0">
      <pane xSplit="1" ySplit="2" topLeftCell="R3" activePane="bottomRight" state="frozen"/>
      <selection pane="topRight" activeCell="B1" sqref="B1"/>
      <selection pane="bottomLeft" activeCell="A3" sqref="A3"/>
      <selection pane="bottomRight" activeCell="Y3" sqref="Y3"/>
    </sheetView>
  </sheetViews>
  <sheetFormatPr baseColWidth="10" defaultRowHeight="15"/>
  <cols>
    <col min="1" max="1" width="41.7109375" style="71" customWidth="1"/>
    <col min="2" max="2" width="15.7109375" style="71" customWidth="1"/>
    <col min="3" max="3" width="17.7109375" style="90" customWidth="1"/>
    <col min="4" max="8" width="13" style="90" customWidth="1"/>
    <col min="9" max="9" width="12.42578125" style="65" customWidth="1"/>
    <col min="10" max="10" width="12.85546875" style="65" customWidth="1"/>
    <col min="11" max="11" width="14.28515625" style="65" customWidth="1"/>
    <col min="12" max="13" width="15.7109375" style="65" bestFit="1" customWidth="1"/>
    <col min="14" max="16" width="15.7109375" style="65" customWidth="1"/>
    <col min="17" max="19" width="15.7109375" style="65" bestFit="1" customWidth="1"/>
    <col min="20" max="20" width="13.140625" style="65" customWidth="1"/>
    <col min="21" max="21" width="12.28515625" style="65" customWidth="1"/>
    <col min="22" max="22" width="12.140625" style="65" customWidth="1"/>
    <col min="23" max="23" width="15.42578125" style="65" bestFit="1" customWidth="1"/>
    <col min="24" max="24" width="15.42578125" style="65" customWidth="1"/>
    <col min="25" max="25" width="16.42578125" style="65" customWidth="1"/>
    <col min="26" max="16384" width="11.42578125" style="65"/>
  </cols>
  <sheetData>
    <row r="1" spans="1:34">
      <c r="B1" s="266" t="s">
        <v>101</v>
      </c>
      <c r="C1" s="266"/>
      <c r="D1" s="266"/>
      <c r="E1" s="266"/>
      <c r="F1" s="266"/>
      <c r="G1" s="266"/>
      <c r="H1" s="266"/>
      <c r="I1" s="266"/>
      <c r="J1" s="267" t="s">
        <v>102</v>
      </c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34" ht="46.5" customHeight="1">
      <c r="A2" s="105" t="s">
        <v>96</v>
      </c>
      <c r="B2" s="2" t="s">
        <v>15</v>
      </c>
      <c r="C2" s="2" t="s">
        <v>105</v>
      </c>
      <c r="D2" s="2" t="s">
        <v>106</v>
      </c>
      <c r="E2" s="2" t="s">
        <v>107</v>
      </c>
      <c r="F2" s="2" t="s">
        <v>16</v>
      </c>
      <c r="G2" s="2" t="s">
        <v>21</v>
      </c>
      <c r="H2" s="2" t="s">
        <v>22</v>
      </c>
      <c r="I2" s="2" t="s">
        <v>17</v>
      </c>
      <c r="J2" s="2" t="s">
        <v>28</v>
      </c>
      <c r="K2" s="2" t="s">
        <v>54</v>
      </c>
      <c r="L2" s="2" t="s">
        <v>97</v>
      </c>
      <c r="M2" s="114" t="s">
        <v>15</v>
      </c>
      <c r="N2" s="114" t="s">
        <v>105</v>
      </c>
      <c r="O2" s="114" t="s">
        <v>106</v>
      </c>
      <c r="P2" s="114" t="s">
        <v>107</v>
      </c>
      <c r="Q2" s="114" t="s">
        <v>16</v>
      </c>
      <c r="R2" s="114" t="s">
        <v>21</v>
      </c>
      <c r="S2" s="114" t="s">
        <v>22</v>
      </c>
      <c r="T2" s="114" t="s">
        <v>17</v>
      </c>
      <c r="U2" s="114" t="s">
        <v>28</v>
      </c>
      <c r="V2" s="114" t="s">
        <v>54</v>
      </c>
      <c r="W2" s="114" t="s">
        <v>103</v>
      </c>
      <c r="X2" s="249"/>
      <c r="Y2" s="122" t="s">
        <v>111</v>
      </c>
      <c r="Z2" s="122" t="s">
        <v>112</v>
      </c>
      <c r="AA2" s="122" t="s">
        <v>113</v>
      </c>
      <c r="AB2" s="122" t="s">
        <v>114</v>
      </c>
      <c r="AC2" s="122" t="s">
        <v>23</v>
      </c>
      <c r="AD2" s="122" t="s">
        <v>24</v>
      </c>
      <c r="AE2" s="122" t="s">
        <v>25</v>
      </c>
      <c r="AF2" s="122" t="s">
        <v>26</v>
      </c>
      <c r="AG2" s="122" t="s">
        <v>55</v>
      </c>
      <c r="AH2" s="122" t="s">
        <v>104</v>
      </c>
    </row>
    <row r="3" spans="1:34" s="230" customFormat="1">
      <c r="A3" s="220" t="s">
        <v>3</v>
      </c>
      <c r="B3" s="221">
        <v>320930664</v>
      </c>
      <c r="C3" s="222">
        <v>365352969</v>
      </c>
      <c r="D3" s="223">
        <v>402206176</v>
      </c>
      <c r="E3" s="223">
        <v>463642615</v>
      </c>
      <c r="F3" s="221">
        <v>563888414</v>
      </c>
      <c r="G3" s="221">
        <v>696502494</v>
      </c>
      <c r="H3" s="221">
        <v>759840320</v>
      </c>
      <c r="I3" s="221">
        <v>792694615</v>
      </c>
      <c r="J3" s="221">
        <v>827371506</v>
      </c>
      <c r="K3" s="221">
        <v>873948314</v>
      </c>
      <c r="L3" s="224">
        <v>988828530</v>
      </c>
      <c r="M3" s="225">
        <f>B3*$G$35</f>
        <v>456232216.12837839</v>
      </c>
      <c r="N3" s="226">
        <f>C3*$G$36</f>
        <v>506380318.5955652</v>
      </c>
      <c r="O3" s="226">
        <f>D3*$G$37</f>
        <v>517012349.25988561</v>
      </c>
      <c r="P3" s="226">
        <f>E3*$G$38</f>
        <v>556513168.35179925</v>
      </c>
      <c r="Q3" s="227">
        <f>F3*$G$39</f>
        <v>686309912.8303057</v>
      </c>
      <c r="R3" s="227">
        <f>G3*$G$40</f>
        <v>823186985.48693132</v>
      </c>
      <c r="S3" s="227">
        <f>H3*$G$41</f>
        <v>859936701.63353586</v>
      </c>
      <c r="T3" s="227">
        <f>I3*$G$42</f>
        <v>884007756.98974931</v>
      </c>
      <c r="U3" s="227">
        <f>J3*$G$43</f>
        <v>895592366.06521523</v>
      </c>
      <c r="V3" s="227">
        <f>K3*$G$44</f>
        <v>904061765.60271132</v>
      </c>
      <c r="W3" s="228">
        <f>L3*$G$45</f>
        <v>988828530</v>
      </c>
      <c r="X3" s="136">
        <v>988828530</v>
      </c>
      <c r="Y3" s="229">
        <f>(N3-M3)/M3</f>
        <v>0.10991793366270242</v>
      </c>
      <c r="Z3" s="229">
        <f>(O3-N3)/N3</f>
        <v>2.0996137238919781E-2</v>
      </c>
      <c r="AA3" s="229">
        <f t="shared" ref="AA3:AH18" si="0">(P3-O3)/O3</f>
        <v>7.6402080430883174E-2</v>
      </c>
      <c r="AB3" s="229">
        <f t="shared" si="0"/>
        <v>0.2332321171535254</v>
      </c>
      <c r="AC3" s="229">
        <f t="shared" si="0"/>
        <v>0.19943916020701469</v>
      </c>
      <c r="AD3" s="229">
        <f t="shared" si="0"/>
        <v>4.4643218119958923E-2</v>
      </c>
      <c r="AE3" s="229">
        <f t="shared" si="0"/>
        <v>2.7991659514575981E-2</v>
      </c>
      <c r="AF3" s="229">
        <f t="shared" si="0"/>
        <v>1.3104646405948052E-2</v>
      </c>
      <c r="AG3" s="229">
        <f t="shared" si="0"/>
        <v>9.4567571792805623E-3</v>
      </c>
      <c r="AH3" s="229">
        <f>(W3-V3)/V3</f>
        <v>9.3762138409622026E-2</v>
      </c>
    </row>
    <row r="4" spans="1:34">
      <c r="A4" s="69" t="s">
        <v>6</v>
      </c>
      <c r="B4" s="76">
        <v>29719174</v>
      </c>
      <c r="C4" s="117">
        <v>32421678</v>
      </c>
      <c r="D4" s="117">
        <v>33984144</v>
      </c>
      <c r="E4" s="117">
        <v>36538691</v>
      </c>
      <c r="F4" s="76">
        <v>39913868</v>
      </c>
      <c r="G4" s="104">
        <v>41216101</v>
      </c>
      <c r="H4" s="76">
        <v>41897771</v>
      </c>
      <c r="I4" s="76">
        <v>44273690</v>
      </c>
      <c r="J4" s="76">
        <v>45177781</v>
      </c>
      <c r="K4" s="76">
        <v>47703315</v>
      </c>
      <c r="L4" s="138">
        <v>51417092</v>
      </c>
      <c r="M4" s="119">
        <f t="shared" ref="M4:M21" si="1">B4*$G$35</f>
        <v>42248517.005295835</v>
      </c>
      <c r="N4" s="120">
        <f t="shared" ref="N4:N21" si="2">C4*$G$36</f>
        <v>44936543.638825141</v>
      </c>
      <c r="O4" s="120">
        <f t="shared" ref="O4:O21" si="3">D4*$G$37</f>
        <v>43684615.442171246</v>
      </c>
      <c r="P4" s="120">
        <f t="shared" ref="P4:P18" si="4">E4*$G$38</f>
        <v>43857622.310747623</v>
      </c>
      <c r="Q4" s="35">
        <f t="shared" ref="Q4:Q21" si="5">F4*$G$39</f>
        <v>48579262.470536113</v>
      </c>
      <c r="R4" s="35">
        <f t="shared" ref="R4:R21" si="6">G4*$G$40</f>
        <v>48712758.716575243</v>
      </c>
      <c r="S4" s="35">
        <f t="shared" ref="S4:S21" si="7">H4*$G$41</f>
        <v>47417108.63611082</v>
      </c>
      <c r="T4" s="35">
        <f t="shared" ref="T4:T21" si="8">I4*$G$42</f>
        <v>49373724.319496602</v>
      </c>
      <c r="U4" s="35">
        <f t="shared" ref="U4:U21" si="9">J4*$G$43</f>
        <v>48902911.794700027</v>
      </c>
      <c r="V4" s="35">
        <f t="shared" ref="V4:V8" si="10">K4*$G$44</f>
        <v>49347018.002259463</v>
      </c>
      <c r="W4" s="142">
        <f t="shared" ref="W4:W20" si="11">L4*$G$45</f>
        <v>51417092</v>
      </c>
      <c r="X4" s="250">
        <v>51417092</v>
      </c>
      <c r="Y4" s="123">
        <f t="shared" ref="Y4:Y21" si="12">(N4-M4)/M4</f>
        <v>6.3624165392417498E-2</v>
      </c>
      <c r="Z4" s="123">
        <f t="shared" ref="Z4:AH21" si="13">(O4-N4)/N4</f>
        <v>-2.7859913007911671E-2</v>
      </c>
      <c r="AA4" s="123">
        <f t="shared" si="0"/>
        <v>3.9603614871098133E-3</v>
      </c>
      <c r="AB4" s="123">
        <f t="shared" si="0"/>
        <v>0.10765837067805241</v>
      </c>
      <c r="AC4" s="123">
        <f t="shared" si="0"/>
        <v>2.7480089085357528E-3</v>
      </c>
      <c r="AD4" s="123">
        <f t="shared" si="0"/>
        <v>-2.6597756205984664E-2</v>
      </c>
      <c r="AE4" s="123">
        <f t="shared" si="0"/>
        <v>4.1263918017466546E-2</v>
      </c>
      <c r="AF4" s="123">
        <f t="shared" si="0"/>
        <v>-9.5356899096765476E-3</v>
      </c>
      <c r="AG4" s="123">
        <f t="shared" si="0"/>
        <v>9.0813857756332547E-3</v>
      </c>
      <c r="AH4" s="123">
        <f t="shared" si="0"/>
        <v>4.1949323009665022E-2</v>
      </c>
    </row>
    <row r="5" spans="1:34">
      <c r="A5" s="69" t="s">
        <v>4</v>
      </c>
      <c r="B5" s="76">
        <v>122151869</v>
      </c>
      <c r="C5" s="117">
        <v>134892151</v>
      </c>
      <c r="D5" s="117">
        <v>151406319</v>
      </c>
      <c r="E5" s="117">
        <v>177875806</v>
      </c>
      <c r="F5" s="76">
        <v>192716737</v>
      </c>
      <c r="G5" s="104">
        <v>236827278</v>
      </c>
      <c r="H5" s="76">
        <v>258994773</v>
      </c>
      <c r="I5" s="76">
        <v>276456718</v>
      </c>
      <c r="J5" s="76">
        <v>301087729</v>
      </c>
      <c r="K5" s="76">
        <v>340971488</v>
      </c>
      <c r="L5" s="137">
        <v>377896067</v>
      </c>
      <c r="M5" s="119">
        <f t="shared" si="1"/>
        <v>173650025.22193816</v>
      </c>
      <c r="N5" s="120">
        <f t="shared" si="2"/>
        <v>186960928.73251316</v>
      </c>
      <c r="O5" s="120">
        <f t="shared" si="3"/>
        <v>194623905.22561654</v>
      </c>
      <c r="P5" s="120">
        <f t="shared" si="4"/>
        <v>213505456.93516544</v>
      </c>
      <c r="Q5" s="35">
        <f t="shared" si="5"/>
        <v>234555993.14975631</v>
      </c>
      <c r="R5" s="35">
        <f t="shared" si="6"/>
        <v>279902993.51016456</v>
      </c>
      <c r="S5" s="35">
        <f t="shared" si="7"/>
        <v>293113046.21732414</v>
      </c>
      <c r="T5" s="35">
        <f t="shared" si="8"/>
        <v>308302691.30051762</v>
      </c>
      <c r="U5" s="35">
        <f t="shared" si="9"/>
        <v>325913896.78376514</v>
      </c>
      <c r="V5" s="35">
        <f t="shared" si="10"/>
        <v>352720270.2074939</v>
      </c>
      <c r="W5" s="142">
        <f t="shared" si="11"/>
        <v>377896067</v>
      </c>
      <c r="X5" s="250">
        <v>377896067</v>
      </c>
      <c r="Y5" s="123">
        <f t="shared" si="12"/>
        <v>7.6653622673320279E-2</v>
      </c>
      <c r="Z5" s="123">
        <f t="shared" si="13"/>
        <v>4.0987047641739528E-2</v>
      </c>
      <c r="AA5" s="123">
        <f t="shared" si="0"/>
        <v>9.7015583402565941E-2</v>
      </c>
      <c r="AB5" s="123">
        <f t="shared" si="0"/>
        <v>9.859483929248343E-2</v>
      </c>
      <c r="AC5" s="123">
        <f t="shared" si="0"/>
        <v>0.19333123725154902</v>
      </c>
      <c r="AD5" s="123">
        <f t="shared" si="0"/>
        <v>4.719511049702247E-2</v>
      </c>
      <c r="AE5" s="123">
        <f t="shared" si="0"/>
        <v>5.1821798037373447E-2</v>
      </c>
      <c r="AF5" s="123">
        <f t="shared" si="0"/>
        <v>5.712310005779684E-2</v>
      </c>
      <c r="AG5" s="123">
        <f t="shared" si="0"/>
        <v>8.2249863194738371E-2</v>
      </c>
      <c r="AH5" s="123">
        <f t="shared" si="0"/>
        <v>7.1376098622560002E-2</v>
      </c>
    </row>
    <row r="6" spans="1:34" ht="24">
      <c r="A6" s="69" t="s">
        <v>9</v>
      </c>
      <c r="B6" s="76">
        <v>1243234</v>
      </c>
      <c r="C6" s="76">
        <v>2304129</v>
      </c>
      <c r="D6" s="117">
        <v>3675561</v>
      </c>
      <c r="E6" s="121">
        <v>4731138</v>
      </c>
      <c r="F6" s="76">
        <v>5755841</v>
      </c>
      <c r="G6" s="104">
        <v>7479643</v>
      </c>
      <c r="H6" s="76">
        <v>9354733</v>
      </c>
      <c r="I6" s="76">
        <v>30235795</v>
      </c>
      <c r="J6" s="76">
        <v>37029713</v>
      </c>
      <c r="K6" s="76">
        <v>38364489</v>
      </c>
      <c r="L6" s="137">
        <v>40855757</v>
      </c>
      <c r="M6" s="119">
        <f t="shared" si="1"/>
        <v>1767370.5463873916</v>
      </c>
      <c r="N6" s="120">
        <f t="shared" si="2"/>
        <v>3193529.7537031402</v>
      </c>
      <c r="O6" s="120">
        <f t="shared" si="3"/>
        <v>4724717.174551826</v>
      </c>
      <c r="P6" s="120">
        <f t="shared" si="4"/>
        <v>5678814.9171525026</v>
      </c>
      <c r="Q6" s="35">
        <f t="shared" si="5"/>
        <v>7005447.5972529911</v>
      </c>
      <c r="R6" s="35">
        <f t="shared" si="6"/>
        <v>8840090.059589114</v>
      </c>
      <c r="S6" s="35">
        <f t="shared" si="7"/>
        <v>10587064.188278915</v>
      </c>
      <c r="T6" s="35">
        <f t="shared" si="8"/>
        <v>33718757.2779864</v>
      </c>
      <c r="U6" s="35">
        <f t="shared" si="9"/>
        <v>40082995.413653821</v>
      </c>
      <c r="V6" s="35">
        <f t="shared" si="10"/>
        <v>39686406.05648654</v>
      </c>
      <c r="W6" s="142">
        <f t="shared" si="11"/>
        <v>40855757</v>
      </c>
      <c r="X6" s="253" t="s">
        <v>194</v>
      </c>
      <c r="Y6" s="123">
        <f t="shared" si="12"/>
        <v>0.80693842625752765</v>
      </c>
      <c r="Z6" s="123">
        <f t="shared" si="13"/>
        <v>0.47946552527752645</v>
      </c>
      <c r="AA6" s="123">
        <f t="shared" si="0"/>
        <v>0.20193753559252564</v>
      </c>
      <c r="AB6" s="123">
        <f t="shared" si="0"/>
        <v>0.23361083244560024</v>
      </c>
      <c r="AC6" s="123">
        <f t="shared" si="0"/>
        <v>0.26188797173438733</v>
      </c>
      <c r="AD6" s="123">
        <f t="shared" si="0"/>
        <v>0.1976194944750371</v>
      </c>
      <c r="AE6" s="123">
        <f t="shared" si="0"/>
        <v>2.1849015627313286</v>
      </c>
      <c r="AF6" s="123">
        <f t="shared" si="0"/>
        <v>0.18874474178271014</v>
      </c>
      <c r="AG6" s="123">
        <f t="shared" si="0"/>
        <v>-9.8942045891157997E-3</v>
      </c>
      <c r="AH6" s="123">
        <f>(W6-V6)/V6</f>
        <v>2.9464772946411359E-2</v>
      </c>
    </row>
    <row r="7" spans="1:34">
      <c r="A7" s="69" t="s">
        <v>70</v>
      </c>
      <c r="B7" s="76">
        <v>6969472</v>
      </c>
      <c r="C7" s="117">
        <v>6737834</v>
      </c>
      <c r="D7" s="117">
        <v>1563000</v>
      </c>
      <c r="E7" s="117">
        <v>2655000</v>
      </c>
      <c r="F7" s="76">
        <v>23968642</v>
      </c>
      <c r="G7" s="104">
        <v>33359217</v>
      </c>
      <c r="H7" s="76">
        <v>28461341</v>
      </c>
      <c r="I7" s="76">
        <v>24412381</v>
      </c>
      <c r="J7" s="76">
        <v>32160950</v>
      </c>
      <c r="K7" s="76">
        <v>31438861</v>
      </c>
      <c r="L7" s="145">
        <v>19984182</v>
      </c>
      <c r="M7" s="119">
        <f t="shared" si="1"/>
        <v>9907740.2457394395</v>
      </c>
      <c r="N7" s="120">
        <f t="shared" si="2"/>
        <v>9338658.2758659106</v>
      </c>
      <c r="O7" s="120">
        <f t="shared" si="3"/>
        <v>2009144.4391276606</v>
      </c>
      <c r="P7" s="120">
        <f t="shared" si="4"/>
        <v>3186813.3216659278</v>
      </c>
      <c r="Q7" s="35">
        <f t="shared" si="5"/>
        <v>29172290.462560922</v>
      </c>
      <c r="R7" s="35">
        <f t="shared" si="6"/>
        <v>39426812.562762178</v>
      </c>
      <c r="S7" s="35">
        <f t="shared" si="7"/>
        <v>32210651.447934903</v>
      </c>
      <c r="T7" s="35">
        <f t="shared" si="8"/>
        <v>27224524.75672384</v>
      </c>
      <c r="U7" s="35">
        <f t="shared" si="9"/>
        <v>34812778.898630671</v>
      </c>
      <c r="V7" s="35">
        <f t="shared" si="10"/>
        <v>32522143.162116364</v>
      </c>
      <c r="W7" s="142">
        <f t="shared" si="11"/>
        <v>19984182</v>
      </c>
      <c r="X7" s="136">
        <v>19984182</v>
      </c>
      <c r="Y7" s="123">
        <f t="shared" si="12"/>
        <v>-5.7438119667928063E-2</v>
      </c>
      <c r="Z7" s="123">
        <f t="shared" si="13"/>
        <v>-0.78485726966582192</v>
      </c>
      <c r="AA7" s="123">
        <f t="shared" si="0"/>
        <v>0.58615441458733186</v>
      </c>
      <c r="AB7" s="123">
        <f t="shared" si="0"/>
        <v>8.1540631715794749</v>
      </c>
      <c r="AC7" s="123">
        <f t="shared" si="0"/>
        <v>0.35151583703589151</v>
      </c>
      <c r="AD7" s="123">
        <f t="shared" si="0"/>
        <v>-0.18302674362377425</v>
      </c>
      <c r="AE7" s="123">
        <f t="shared" si="0"/>
        <v>-0.15479744951047039</v>
      </c>
      <c r="AF7" s="123">
        <f t="shared" si="0"/>
        <v>0.27872861729322584</v>
      </c>
      <c r="AG7" s="123">
        <f t="shared" si="0"/>
        <v>-6.5798704067385083E-2</v>
      </c>
      <c r="AH7" s="123">
        <f t="shared" si="0"/>
        <v>-0.38552075426324584</v>
      </c>
    </row>
    <row r="8" spans="1:34">
      <c r="A8" s="69" t="s">
        <v>8</v>
      </c>
      <c r="B8" s="76">
        <v>77876780</v>
      </c>
      <c r="C8" s="117">
        <v>80998440</v>
      </c>
      <c r="D8" s="117">
        <v>89186280</v>
      </c>
      <c r="E8" s="117">
        <v>96985712</v>
      </c>
      <c r="F8" s="76">
        <v>102543779</v>
      </c>
      <c r="G8" s="76">
        <v>112713936</v>
      </c>
      <c r="H8" s="76">
        <v>116732889</v>
      </c>
      <c r="I8" s="76">
        <v>125160080</v>
      </c>
      <c r="J8" s="76">
        <v>129227014</v>
      </c>
      <c r="K8" s="76">
        <v>146359828</v>
      </c>
      <c r="L8" s="139">
        <v>168508675</v>
      </c>
      <c r="M8" s="119">
        <f t="shared" si="1"/>
        <v>110708947.16480622</v>
      </c>
      <c r="N8" s="120">
        <f t="shared" si="2"/>
        <v>112264082.49865289</v>
      </c>
      <c r="O8" s="120">
        <f t="shared" si="3"/>
        <v>114643709.85827415</v>
      </c>
      <c r="P8" s="120">
        <f t="shared" si="4"/>
        <v>116412564.59994541</v>
      </c>
      <c r="Q8" s="35">
        <f t="shared" si="5"/>
        <v>124806274.21931769</v>
      </c>
      <c r="R8" s="35">
        <f t="shared" si="6"/>
        <v>133215093.98386577</v>
      </c>
      <c r="S8" s="35">
        <f t="shared" si="7"/>
        <v>132110514.40230712</v>
      </c>
      <c r="T8" s="35">
        <f t="shared" si="8"/>
        <v>139577687.91637066</v>
      </c>
      <c r="U8" s="35">
        <f t="shared" si="9"/>
        <v>139882418.46438774</v>
      </c>
      <c r="V8" s="35">
        <f t="shared" si="10"/>
        <v>151402917.53568065</v>
      </c>
      <c r="W8" s="142">
        <f t="shared" si="11"/>
        <v>168508675</v>
      </c>
      <c r="X8" s="250">
        <v>168508675</v>
      </c>
      <c r="Y8" s="123">
        <f t="shared" si="12"/>
        <v>1.4047060997984475E-2</v>
      </c>
      <c r="Z8" s="123">
        <f t="shared" si="13"/>
        <v>2.1196693605453114E-2</v>
      </c>
      <c r="AA8" s="123">
        <f t="shared" si="0"/>
        <v>1.5429147781923433E-2</v>
      </c>
      <c r="AB8" s="123">
        <f t="shared" si="0"/>
        <v>7.2103124333850591E-2</v>
      </c>
      <c r="AC8" s="123">
        <f t="shared" si="0"/>
        <v>6.7374976275403869E-2</v>
      </c>
      <c r="AD8" s="123">
        <f t="shared" si="0"/>
        <v>-8.2916999007066339E-3</v>
      </c>
      <c r="AE8" s="123">
        <f t="shared" si="0"/>
        <v>5.6522174240607861E-2</v>
      </c>
      <c r="AF8" s="123">
        <f t="shared" si="0"/>
        <v>2.1832325249553273E-3</v>
      </c>
      <c r="AG8" s="123">
        <f t="shared" si="0"/>
        <v>8.235844931595801E-2</v>
      </c>
      <c r="AH8" s="123">
        <f t="shared" si="0"/>
        <v>0.11298168980322383</v>
      </c>
    </row>
    <row r="9" spans="1:34" ht="24">
      <c r="A9" s="69" t="s">
        <v>2</v>
      </c>
      <c r="B9" s="76">
        <v>86469013</v>
      </c>
      <c r="C9" s="117">
        <v>100976947</v>
      </c>
      <c r="D9" s="117">
        <v>122354532</v>
      </c>
      <c r="E9" s="117">
        <v>139848077</v>
      </c>
      <c r="F9" s="76">
        <v>159616987</v>
      </c>
      <c r="G9" s="76">
        <v>178223032</v>
      </c>
      <c r="H9" s="76">
        <v>192603757</v>
      </c>
      <c r="I9" s="76">
        <v>214497712</v>
      </c>
      <c r="J9" s="76">
        <v>233812020</v>
      </c>
      <c r="K9" s="76">
        <v>256205613</v>
      </c>
      <c r="L9" s="137">
        <v>295313356</v>
      </c>
      <c r="M9" s="119">
        <f t="shared" si="1"/>
        <v>122923590.21020055</v>
      </c>
      <c r="N9" s="120">
        <f t="shared" si="2"/>
        <v>139954353.54643992</v>
      </c>
      <c r="O9" s="120">
        <f t="shared" si="3"/>
        <v>157279544.19057417</v>
      </c>
      <c r="P9" s="120">
        <f t="shared" si="4"/>
        <v>167860532.87870526</v>
      </c>
      <c r="Q9" s="35">
        <f t="shared" si="5"/>
        <v>194270209.69827205</v>
      </c>
      <c r="R9" s="35">
        <f t="shared" si="6"/>
        <v>210639418.69592342</v>
      </c>
      <c r="S9" s="35">
        <f t="shared" si="7"/>
        <v>217976113.08229476</v>
      </c>
      <c r="T9" s="35">
        <f t="shared" si="8"/>
        <v>239206420.32436821</v>
      </c>
      <c r="U9" s="35">
        <f t="shared" si="9"/>
        <v>253090973.8705546</v>
      </c>
      <c r="V9" s="35">
        <f>K9*$G$44</f>
        <v>265033635.44003013</v>
      </c>
      <c r="W9" s="142">
        <f t="shared" si="11"/>
        <v>295313356</v>
      </c>
      <c r="X9" s="253" t="s">
        <v>192</v>
      </c>
      <c r="Y9" s="123">
        <f t="shared" si="12"/>
        <v>0.13854755874862257</v>
      </c>
      <c r="Z9" s="123">
        <f t="shared" si="13"/>
        <v>0.12379172355210355</v>
      </c>
      <c r="AA9" s="123">
        <f t="shared" si="0"/>
        <v>6.7275046749310313E-2</v>
      </c>
      <c r="AB9" s="123">
        <f t="shared" si="0"/>
        <v>0.1573310674442468</v>
      </c>
      <c r="AC9" s="123">
        <f t="shared" si="0"/>
        <v>8.4260005808790589E-2</v>
      </c>
      <c r="AD9" s="123">
        <f t="shared" si="0"/>
        <v>3.4830585992845477E-2</v>
      </c>
      <c r="AE9" s="123">
        <f t="shared" si="0"/>
        <v>9.7397402595476829E-2</v>
      </c>
      <c r="AF9" s="123">
        <f t="shared" si="0"/>
        <v>5.8044234462263526E-2</v>
      </c>
      <c r="AG9" s="123">
        <f t="shared" si="0"/>
        <v>4.7187228318872017E-2</v>
      </c>
      <c r="AH9" s="123">
        <f t="shared" si="0"/>
        <v>0.11424859531393836</v>
      </c>
    </row>
    <row r="10" spans="1:34">
      <c r="A10" s="69" t="s">
        <v>18</v>
      </c>
      <c r="B10" s="6"/>
      <c r="C10" s="6"/>
      <c r="D10" s="6"/>
      <c r="E10" s="6"/>
      <c r="F10" s="6"/>
      <c r="G10" s="32"/>
      <c r="H10" s="32"/>
      <c r="I10" s="76">
        <v>683998</v>
      </c>
      <c r="J10" s="76">
        <v>3092118</v>
      </c>
      <c r="K10" s="94"/>
      <c r="L10" s="140"/>
      <c r="M10" s="124"/>
      <c r="N10" s="125"/>
      <c r="O10" s="125"/>
      <c r="P10" s="125"/>
      <c r="Q10" s="126"/>
      <c r="R10" s="126"/>
      <c r="S10" s="126"/>
      <c r="T10" s="35">
        <f t="shared" si="8"/>
        <v>762790.01562975743</v>
      </c>
      <c r="U10" s="35">
        <f t="shared" si="9"/>
        <v>3347078.3749384293</v>
      </c>
      <c r="V10" s="172"/>
      <c r="W10" s="143"/>
      <c r="X10" s="251"/>
      <c r="Y10" s="123"/>
      <c r="Z10" s="123"/>
      <c r="AA10" s="123"/>
      <c r="AB10" s="123"/>
      <c r="AC10" s="123"/>
      <c r="AD10" s="123"/>
      <c r="AE10" s="123"/>
      <c r="AF10" s="123">
        <f t="shared" si="0"/>
        <v>3.3879420369380302</v>
      </c>
      <c r="AG10" s="123">
        <f t="shared" si="0"/>
        <v>-1</v>
      </c>
      <c r="AH10" s="123"/>
    </row>
    <row r="11" spans="1:34">
      <c r="A11" s="69" t="s">
        <v>29</v>
      </c>
      <c r="B11" s="6"/>
      <c r="C11" s="6"/>
      <c r="D11" s="6"/>
      <c r="E11" s="6"/>
      <c r="F11" s="6"/>
      <c r="G11" s="6"/>
      <c r="H11" s="6"/>
      <c r="I11" s="94"/>
      <c r="J11" s="94"/>
      <c r="K11" s="76">
        <v>3086380</v>
      </c>
      <c r="L11" s="137">
        <v>3097219</v>
      </c>
      <c r="M11" s="124"/>
      <c r="N11" s="125"/>
      <c r="O11" s="125"/>
      <c r="P11" s="125"/>
      <c r="Q11" s="126"/>
      <c r="R11" s="126"/>
      <c r="S11" s="126"/>
      <c r="T11" s="126"/>
      <c r="U11" s="126"/>
      <c r="V11" s="35">
        <f t="shared" ref="V11:V21" si="14">K11*$G$44</f>
        <v>3192726.7407267937</v>
      </c>
      <c r="W11" s="142">
        <f t="shared" si="11"/>
        <v>3097219</v>
      </c>
      <c r="X11" s="250">
        <v>3097219</v>
      </c>
      <c r="Y11" s="123"/>
      <c r="Z11" s="123"/>
      <c r="AA11" s="123"/>
      <c r="AB11" s="123"/>
      <c r="AC11" s="123"/>
      <c r="AD11" s="123"/>
      <c r="AE11" s="123"/>
      <c r="AF11" s="123"/>
      <c r="AG11" s="123"/>
      <c r="AH11" s="123">
        <f t="shared" si="0"/>
        <v>-2.9914160679173008E-2</v>
      </c>
    </row>
    <row r="12" spans="1:34">
      <c r="A12" s="69" t="s">
        <v>30</v>
      </c>
      <c r="B12" s="6"/>
      <c r="C12" s="6"/>
      <c r="D12" s="6"/>
      <c r="E12" s="6"/>
      <c r="F12" s="6"/>
      <c r="G12" s="6"/>
      <c r="H12" s="6"/>
      <c r="I12" s="94"/>
      <c r="J12" s="94"/>
      <c r="K12" s="76">
        <v>2942689</v>
      </c>
      <c r="L12" s="139">
        <v>1371371</v>
      </c>
      <c r="M12" s="124"/>
      <c r="N12" s="125"/>
      <c r="O12" s="125"/>
      <c r="P12" s="125"/>
      <c r="Q12" s="126"/>
      <c r="R12" s="126"/>
      <c r="S12" s="126"/>
      <c r="T12" s="126"/>
      <c r="U12" s="126"/>
      <c r="V12" s="35">
        <f t="shared" si="14"/>
        <v>3044084.6104311808</v>
      </c>
      <c r="W12" s="142">
        <f t="shared" si="11"/>
        <v>1371371</v>
      </c>
      <c r="X12" s="136">
        <v>1371371</v>
      </c>
      <c r="Y12" s="123"/>
      <c r="Z12" s="123"/>
      <c r="AA12" s="123"/>
      <c r="AB12" s="123"/>
      <c r="AC12" s="123"/>
      <c r="AD12" s="123"/>
      <c r="AE12" s="123"/>
      <c r="AF12" s="123"/>
      <c r="AG12" s="123"/>
      <c r="AH12" s="123">
        <f t="shared" si="0"/>
        <v>-0.54949642486916572</v>
      </c>
    </row>
    <row r="13" spans="1:34">
      <c r="A13" s="69" t="s">
        <v>5</v>
      </c>
      <c r="B13" s="76">
        <v>60021330</v>
      </c>
      <c r="C13" s="117">
        <v>65791656</v>
      </c>
      <c r="D13" s="117">
        <v>71270517</v>
      </c>
      <c r="E13" s="117">
        <v>77692209</v>
      </c>
      <c r="F13" s="76">
        <v>90599680</v>
      </c>
      <c r="G13" s="104">
        <v>94246107</v>
      </c>
      <c r="H13" s="76">
        <v>102920792</v>
      </c>
      <c r="I13" s="76">
        <v>114561582</v>
      </c>
      <c r="J13" s="76">
        <v>133360239</v>
      </c>
      <c r="K13" s="76">
        <v>159418456</v>
      </c>
      <c r="L13" s="137">
        <v>174697634</v>
      </c>
      <c r="M13" s="119">
        <f t="shared" si="1"/>
        <v>85325796.106765047</v>
      </c>
      <c r="N13" s="120">
        <f t="shared" si="2"/>
        <v>91187433.942023963</v>
      </c>
      <c r="O13" s="120">
        <f t="shared" si="3"/>
        <v>91614051.762190282</v>
      </c>
      <c r="P13" s="120">
        <f t="shared" si="4"/>
        <v>93254450.708419397</v>
      </c>
      <c r="Q13" s="35">
        <f t="shared" si="5"/>
        <v>110269083.27868854</v>
      </c>
      <c r="R13" s="35">
        <f t="shared" si="6"/>
        <v>111388213.80187157</v>
      </c>
      <c r="S13" s="35">
        <f t="shared" si="7"/>
        <v>116478902.30672571</v>
      </c>
      <c r="T13" s="35">
        <f t="shared" si="8"/>
        <v>127758313.51019995</v>
      </c>
      <c r="U13" s="35">
        <f t="shared" si="9"/>
        <v>144356448.24470493</v>
      </c>
      <c r="V13" s="35">
        <f t="shared" si="14"/>
        <v>164911503.90962154</v>
      </c>
      <c r="W13" s="142">
        <f>L13*$G$45</f>
        <v>174697634</v>
      </c>
      <c r="X13" s="250">
        <v>174697634</v>
      </c>
      <c r="Y13" s="123">
        <f t="shared" si="12"/>
        <v>6.8697136185221913E-2</v>
      </c>
      <c r="Z13" s="123">
        <f t="shared" si="13"/>
        <v>4.678471602102093E-3</v>
      </c>
      <c r="AA13" s="123">
        <f t="shared" si="0"/>
        <v>1.790553866657078E-2</v>
      </c>
      <c r="AB13" s="123">
        <f t="shared" si="0"/>
        <v>0.18245383937190449</v>
      </c>
      <c r="AC13" s="123">
        <f t="shared" si="0"/>
        <v>1.0149087032442255E-2</v>
      </c>
      <c r="AD13" s="123">
        <f t="shared" si="0"/>
        <v>4.5702218673773255E-2</v>
      </c>
      <c r="AE13" s="123">
        <f t="shared" si="0"/>
        <v>9.6836517000924244E-2</v>
      </c>
      <c r="AF13" s="123">
        <f t="shared" si="0"/>
        <v>0.1299182360698572</v>
      </c>
      <c r="AG13" s="123">
        <f t="shared" si="0"/>
        <v>0.14239097674440446</v>
      </c>
      <c r="AH13" s="123">
        <f t="shared" si="0"/>
        <v>5.9341706663118395E-2</v>
      </c>
    </row>
    <row r="14" spans="1:34" ht="24">
      <c r="A14" s="69" t="s">
        <v>10</v>
      </c>
      <c r="B14" s="76">
        <v>21334078</v>
      </c>
      <c r="C14" s="117">
        <v>26374806</v>
      </c>
      <c r="D14" s="117">
        <v>32259041</v>
      </c>
      <c r="E14" s="117">
        <v>38481598</v>
      </c>
      <c r="F14" s="76">
        <v>44949966</v>
      </c>
      <c r="G14" s="104">
        <v>51281493</v>
      </c>
      <c r="H14" s="76">
        <v>54901555</v>
      </c>
      <c r="I14" s="76">
        <v>59611840</v>
      </c>
      <c r="J14" s="76">
        <v>63768040</v>
      </c>
      <c r="K14" s="76">
        <v>76724308</v>
      </c>
      <c r="L14" s="137">
        <v>81111159</v>
      </c>
      <c r="M14" s="119">
        <f t="shared" si="1"/>
        <v>30328338.101701878</v>
      </c>
      <c r="N14" s="120">
        <f t="shared" si="2"/>
        <v>36555560.78203439</v>
      </c>
      <c r="O14" s="120">
        <f t="shared" si="3"/>
        <v>41467097.144428156</v>
      </c>
      <c r="P14" s="120">
        <f t="shared" si="4"/>
        <v>46189705.892803364</v>
      </c>
      <c r="Q14" s="35">
        <f t="shared" si="5"/>
        <v>54708709.172352679</v>
      </c>
      <c r="R14" s="35">
        <f t="shared" si="6"/>
        <v>60608910.948047757</v>
      </c>
      <c r="S14" s="35">
        <f t="shared" si="7"/>
        <v>62133925.87702132</v>
      </c>
      <c r="T14" s="35">
        <f t="shared" si="8"/>
        <v>66478727.080077134</v>
      </c>
      <c r="U14" s="35">
        <f t="shared" si="9"/>
        <v>69026029.309427634</v>
      </c>
      <c r="V14" s="35">
        <f t="shared" si="14"/>
        <v>79367981.199774057</v>
      </c>
      <c r="W14" s="142">
        <f t="shared" si="11"/>
        <v>81111159</v>
      </c>
      <c r="X14" s="250">
        <v>81111159</v>
      </c>
      <c r="Y14" s="123">
        <f t="shared" si="12"/>
        <v>0.20532686820657248</v>
      </c>
      <c r="Z14" s="123">
        <f t="shared" si="13"/>
        <v>0.13435811836341988</v>
      </c>
      <c r="AA14" s="123">
        <f t="shared" si="0"/>
        <v>0.11388809619170012</v>
      </c>
      <c r="AB14" s="123">
        <f t="shared" si="0"/>
        <v>0.18443510550424674</v>
      </c>
      <c r="AC14" s="123">
        <f t="shared" si="0"/>
        <v>0.10784757792597992</v>
      </c>
      <c r="AD14" s="123">
        <f t="shared" si="0"/>
        <v>2.5161562963584062E-2</v>
      </c>
      <c r="AE14" s="123">
        <f t="shared" si="0"/>
        <v>6.9926391125763876E-2</v>
      </c>
      <c r="AF14" s="123">
        <f t="shared" si="0"/>
        <v>3.8317554219745212E-2</v>
      </c>
      <c r="AG14" s="123">
        <f t="shared" si="0"/>
        <v>0.14982684059640541</v>
      </c>
      <c r="AH14" s="123">
        <f t="shared" si="0"/>
        <v>2.1963237238430675E-2</v>
      </c>
    </row>
    <row r="15" spans="1:34" ht="36">
      <c r="A15" s="69" t="s">
        <v>1</v>
      </c>
      <c r="B15" s="6"/>
      <c r="C15" s="6"/>
      <c r="D15" s="6"/>
      <c r="E15" s="6"/>
      <c r="F15" s="6"/>
      <c r="G15" s="32"/>
      <c r="H15" s="76">
        <v>37075460</v>
      </c>
      <c r="I15" s="76">
        <v>47100213</v>
      </c>
      <c r="J15" s="76">
        <v>55009605</v>
      </c>
      <c r="K15" s="76">
        <v>62315007</v>
      </c>
      <c r="L15" s="137">
        <v>63594515</v>
      </c>
      <c r="M15" s="124"/>
      <c r="N15" s="125"/>
      <c r="O15" s="125"/>
      <c r="P15" s="125"/>
      <c r="Q15" s="126"/>
      <c r="R15" s="126"/>
      <c r="S15" s="35">
        <f t="shared" si="7"/>
        <v>41959538.003913894</v>
      </c>
      <c r="T15" s="35">
        <f t="shared" si="8"/>
        <v>52525843.950471938</v>
      </c>
      <c r="U15" s="35">
        <f t="shared" si="9"/>
        <v>59545418.159787208</v>
      </c>
      <c r="V15" s="35">
        <f t="shared" si="14"/>
        <v>64462181.972886465</v>
      </c>
      <c r="W15" s="142">
        <f t="shared" si="11"/>
        <v>63594515</v>
      </c>
      <c r="X15" s="253" t="s">
        <v>195</v>
      </c>
      <c r="Y15" s="123"/>
      <c r="Z15" s="123"/>
      <c r="AA15" s="123"/>
      <c r="AB15" s="123"/>
      <c r="AC15" s="123"/>
      <c r="AD15" s="123"/>
      <c r="AE15" s="123">
        <f t="shared" si="0"/>
        <v>0.25182131284601944</v>
      </c>
      <c r="AF15" s="123">
        <f t="shared" si="0"/>
        <v>0.13364038883286139</v>
      </c>
      <c r="AG15" s="123">
        <f t="shared" si="0"/>
        <v>8.2571656477503669E-2</v>
      </c>
      <c r="AH15" s="123">
        <f t="shared" si="0"/>
        <v>-1.3460093132612486E-2</v>
      </c>
    </row>
    <row r="16" spans="1:34">
      <c r="A16" s="69" t="s">
        <v>14</v>
      </c>
      <c r="B16" s="76">
        <v>13435429</v>
      </c>
      <c r="C16" s="117">
        <v>18321017</v>
      </c>
      <c r="D16" s="117">
        <v>24945835</v>
      </c>
      <c r="E16" s="117">
        <v>29272815</v>
      </c>
      <c r="F16" s="76">
        <v>31530048</v>
      </c>
      <c r="G16" s="104">
        <v>33370483</v>
      </c>
      <c r="H16" s="32"/>
      <c r="I16" s="6"/>
      <c r="J16" s="6"/>
      <c r="K16" s="32"/>
      <c r="L16" s="140"/>
      <c r="M16" s="119">
        <f t="shared" si="1"/>
        <v>19099687.985269874</v>
      </c>
      <c r="N16" s="120">
        <f t="shared" si="2"/>
        <v>25392984.901279856</v>
      </c>
      <c r="O16" s="120">
        <f t="shared" si="3"/>
        <v>32066401.580067925</v>
      </c>
      <c r="P16" s="120">
        <f t="shared" si="4"/>
        <v>35136345.312490471</v>
      </c>
      <c r="Q16" s="35">
        <f t="shared" si="5"/>
        <v>38375295.461231723</v>
      </c>
      <c r="R16" s="35">
        <f t="shared" si="6"/>
        <v>39440127.697536841</v>
      </c>
      <c r="S16" s="126"/>
      <c r="T16" s="126"/>
      <c r="U16" s="126"/>
      <c r="V16" s="172"/>
      <c r="W16" s="143"/>
      <c r="X16" s="251"/>
      <c r="Y16" s="123">
        <f t="shared" si="12"/>
        <v>0.32949736775090349</v>
      </c>
      <c r="Z16" s="123">
        <f t="shared" si="13"/>
        <v>0.26280552305025456</v>
      </c>
      <c r="AA16" s="123">
        <f t="shared" si="0"/>
        <v>9.5737082464868284E-2</v>
      </c>
      <c r="AB16" s="123">
        <f t="shared" si="0"/>
        <v>9.218232915048942E-2</v>
      </c>
      <c r="AC16" s="123">
        <f t="shared" si="0"/>
        <v>2.7747857664857701E-2</v>
      </c>
      <c r="AD16" s="123">
        <f t="shared" si="0"/>
        <v>-1</v>
      </c>
      <c r="AE16" s="123"/>
      <c r="AF16" s="123"/>
      <c r="AG16" s="123"/>
      <c r="AH16" s="123"/>
    </row>
    <row r="17" spans="1:34" ht="24">
      <c r="A17" s="69" t="s">
        <v>7</v>
      </c>
      <c r="B17" s="76">
        <v>9075500</v>
      </c>
      <c r="C17" s="117">
        <v>13961820</v>
      </c>
      <c r="D17" s="121">
        <v>16898889</v>
      </c>
      <c r="E17" s="117">
        <v>18974714</v>
      </c>
      <c r="F17" s="76">
        <v>22209799</v>
      </c>
      <c r="G17" s="104">
        <v>23032515</v>
      </c>
      <c r="H17" s="76">
        <v>24688025</v>
      </c>
      <c r="I17" s="76">
        <v>27632075</v>
      </c>
      <c r="J17" s="76">
        <v>29262499</v>
      </c>
      <c r="K17" s="76">
        <v>34314965</v>
      </c>
      <c r="L17" s="137">
        <v>38487829</v>
      </c>
      <c r="M17" s="119">
        <f t="shared" si="1"/>
        <v>12901651.172457295</v>
      </c>
      <c r="N17" s="120">
        <f t="shared" si="2"/>
        <v>19351124.692171134</v>
      </c>
      <c r="O17" s="120">
        <f>D17*$G$37</f>
        <v>21722526.463074595</v>
      </c>
      <c r="P17" s="120">
        <f t="shared" si="4"/>
        <v>22775469.43502862</v>
      </c>
      <c r="Q17" s="35">
        <f t="shared" si="5"/>
        <v>27031598.517058041</v>
      </c>
      <c r="R17" s="35">
        <f t="shared" si="6"/>
        <v>27221821.535979349</v>
      </c>
      <c r="S17" s="35">
        <f t="shared" si="7"/>
        <v>27940263.538984448</v>
      </c>
      <c r="T17" s="35">
        <f t="shared" si="8"/>
        <v>30815106.069217499</v>
      </c>
      <c r="U17" s="35">
        <f t="shared" si="9"/>
        <v>31675336.322726823</v>
      </c>
      <c r="V17" s="35">
        <f t="shared" si="14"/>
        <v>35497348.467331953</v>
      </c>
      <c r="W17" s="142">
        <f t="shared" si="11"/>
        <v>38487829</v>
      </c>
      <c r="X17" s="253" t="s">
        <v>193</v>
      </c>
      <c r="Y17" s="123">
        <f t="shared" si="12"/>
        <v>0.49989520205617605</v>
      </c>
      <c r="Z17" s="123">
        <f t="shared" si="13"/>
        <v>0.12254594028133448</v>
      </c>
      <c r="AA17" s="123">
        <f t="shared" si="0"/>
        <v>4.8472399089667967E-2</v>
      </c>
      <c r="AB17" s="123">
        <f t="shared" si="0"/>
        <v>0.18687338560335023</v>
      </c>
      <c r="AC17" s="123">
        <f t="shared" si="0"/>
        <v>7.0370614154124014E-3</v>
      </c>
      <c r="AD17" s="123">
        <f t="shared" si="0"/>
        <v>2.6392135517291769E-2</v>
      </c>
      <c r="AE17" s="123">
        <f t="shared" si="0"/>
        <v>0.10289246292261509</v>
      </c>
      <c r="AF17" s="123">
        <f t="shared" si="0"/>
        <v>2.7915862161144535E-2</v>
      </c>
      <c r="AG17" s="123">
        <f t="shared" si="0"/>
        <v>0.12066208565756771</v>
      </c>
      <c r="AH17" s="123">
        <f t="shared" si="0"/>
        <v>8.4245180606099979E-2</v>
      </c>
    </row>
    <row r="18" spans="1:34">
      <c r="A18" s="69" t="s">
        <v>13</v>
      </c>
      <c r="B18" s="76">
        <v>12496006</v>
      </c>
      <c r="C18" s="117">
        <v>14550797</v>
      </c>
      <c r="D18" s="117">
        <v>18223451</v>
      </c>
      <c r="E18" s="117">
        <v>21659755</v>
      </c>
      <c r="F18" s="76">
        <v>21895775</v>
      </c>
      <c r="G18" s="76">
        <v>24944353</v>
      </c>
      <c r="H18" s="94"/>
      <c r="I18" s="6"/>
      <c r="J18" s="6"/>
      <c r="K18" s="32"/>
      <c r="L18" s="140"/>
      <c r="M18" s="119">
        <f t="shared" si="1"/>
        <v>17764212.490874708</v>
      </c>
      <c r="N18" s="120">
        <f t="shared" si="2"/>
        <v>20167448.593196992</v>
      </c>
      <c r="O18" s="120">
        <f t="shared" si="3"/>
        <v>23425172.897226747</v>
      </c>
      <c r="P18" s="120">
        <f t="shared" si="4"/>
        <v>25998341.159329638</v>
      </c>
      <c r="Q18" s="35">
        <f t="shared" si="5"/>
        <v>26649399.169251218</v>
      </c>
      <c r="R18" s="35">
        <f t="shared" si="6"/>
        <v>29481397.307088308</v>
      </c>
      <c r="S18" s="126"/>
      <c r="T18" s="126"/>
      <c r="U18" s="126"/>
      <c r="V18" s="172"/>
      <c r="W18" s="143"/>
      <c r="X18" s="251"/>
      <c r="Y18" s="123">
        <f t="shared" si="12"/>
        <v>0.13528525981980916</v>
      </c>
      <c r="Z18" s="123">
        <f t="shared" si="13"/>
        <v>0.16153378494931039</v>
      </c>
      <c r="AA18" s="123">
        <f t="shared" si="0"/>
        <v>0.10984628687233819</v>
      </c>
      <c r="AB18" s="123">
        <f t="shared" si="0"/>
        <v>2.5042290426593047E-2</v>
      </c>
      <c r="AC18" s="123">
        <f t="shared" si="0"/>
        <v>0.10626874249025187</v>
      </c>
      <c r="AD18" s="123">
        <f t="shared" si="0"/>
        <v>-1</v>
      </c>
      <c r="AE18" s="123"/>
      <c r="AF18" s="123"/>
      <c r="AG18" s="123"/>
      <c r="AH18" s="123"/>
    </row>
    <row r="19" spans="1:34">
      <c r="A19" s="69" t="s">
        <v>0</v>
      </c>
      <c r="B19" s="6"/>
      <c r="C19" s="6"/>
      <c r="D19" s="6"/>
      <c r="E19" s="6"/>
      <c r="F19" s="6"/>
      <c r="G19" s="6"/>
      <c r="H19" s="76">
        <v>30081292</v>
      </c>
      <c r="I19" s="76">
        <v>33838727</v>
      </c>
      <c r="J19" s="76">
        <v>29586540</v>
      </c>
      <c r="K19" s="76">
        <v>50408538</v>
      </c>
      <c r="L19" s="137">
        <v>55199462</v>
      </c>
      <c r="M19" s="124"/>
      <c r="N19" s="125"/>
      <c r="O19" s="125"/>
      <c r="P19" s="125"/>
      <c r="Q19" s="126"/>
      <c r="R19" s="126"/>
      <c r="S19" s="35">
        <f t="shared" si="7"/>
        <v>34044004.17097538</v>
      </c>
      <c r="T19" s="35">
        <f t="shared" si="8"/>
        <v>37736723.056531005</v>
      </c>
      <c r="U19" s="35">
        <f t="shared" si="9"/>
        <v>32026096.10087676</v>
      </c>
      <c r="V19" s="35">
        <f t="shared" si="14"/>
        <v>52145454.297119185</v>
      </c>
      <c r="W19" s="142">
        <f t="shared" si="11"/>
        <v>55199462</v>
      </c>
      <c r="X19" s="250">
        <v>55199462</v>
      </c>
      <c r="Y19" s="123"/>
      <c r="Z19" s="123"/>
      <c r="AA19" s="123"/>
      <c r="AB19" s="123"/>
      <c r="AC19" s="123"/>
      <c r="AD19" s="123"/>
      <c r="AE19" s="123">
        <f t="shared" si="13"/>
        <v>0.10846899404106806</v>
      </c>
      <c r="AF19" s="123">
        <f t="shared" si="13"/>
        <v>-0.15132810941478714</v>
      </c>
      <c r="AG19" s="123">
        <f t="shared" si="13"/>
        <v>0.62821763017477583</v>
      </c>
      <c r="AH19" s="123">
        <f t="shared" si="13"/>
        <v>5.8567093604735082E-2</v>
      </c>
    </row>
    <row r="20" spans="1:34" ht="24">
      <c r="A20" s="69" t="s">
        <v>12</v>
      </c>
      <c r="B20" s="6"/>
      <c r="C20" s="6"/>
      <c r="D20" s="6"/>
      <c r="E20" s="6"/>
      <c r="F20" s="6"/>
      <c r="G20" s="6"/>
      <c r="H20" s="6"/>
      <c r="I20" s="94"/>
      <c r="J20" s="76">
        <v>5600804</v>
      </c>
      <c r="K20" s="76">
        <v>5861743</v>
      </c>
      <c r="L20" s="137">
        <v>6219051</v>
      </c>
      <c r="M20" s="124"/>
      <c r="N20" s="125"/>
      <c r="O20" s="125"/>
      <c r="P20" s="125"/>
      <c r="Q20" s="126"/>
      <c r="R20" s="126"/>
      <c r="S20" s="126"/>
      <c r="T20" s="126"/>
      <c r="U20" s="35">
        <f t="shared" si="9"/>
        <v>6062617.9048369611</v>
      </c>
      <c r="V20" s="35">
        <f t="shared" si="14"/>
        <v>6063719.8346827338</v>
      </c>
      <c r="W20" s="142">
        <f t="shared" si="11"/>
        <v>6219051</v>
      </c>
      <c r="X20" s="136">
        <v>6219051</v>
      </c>
      <c r="Y20" s="123"/>
      <c r="Z20" s="123"/>
      <c r="AA20" s="123"/>
      <c r="AB20" s="123"/>
      <c r="AC20" s="123"/>
      <c r="AD20" s="123"/>
      <c r="AE20" s="123"/>
      <c r="AF20" s="123"/>
      <c r="AG20" s="123">
        <f t="shared" si="13"/>
        <v>1.8175808917357745E-4</v>
      </c>
      <c r="AH20" s="123">
        <f t="shared" si="13"/>
        <v>2.561648122804366E-2</v>
      </c>
    </row>
    <row r="21" spans="1:34">
      <c r="A21" s="70" t="s">
        <v>11</v>
      </c>
      <c r="B21" s="85">
        <f t="shared" ref="B21" si="15">SUM(B3:B20)</f>
        <v>761722549</v>
      </c>
      <c r="C21" s="85">
        <f>SUM(C3:C20)</f>
        <v>862684244</v>
      </c>
      <c r="D21" s="85">
        <f t="shared" ref="D21:E21" si="16">SUM(D3:D20)</f>
        <v>967973745</v>
      </c>
      <c r="E21" s="85">
        <f t="shared" si="16"/>
        <v>1108358130</v>
      </c>
      <c r="F21" s="85">
        <v>1299589536</v>
      </c>
      <c r="G21" s="85">
        <v>1533196652</v>
      </c>
      <c r="H21" s="85">
        <v>1657552708</v>
      </c>
      <c r="I21" s="85">
        <v>1791159426</v>
      </c>
      <c r="J21" s="85">
        <v>1925546558</v>
      </c>
      <c r="K21" s="85">
        <v>2130063994</v>
      </c>
      <c r="L21" s="141">
        <f>SUM(L3:L20)</f>
        <v>2366581899</v>
      </c>
      <c r="M21" s="127">
        <f t="shared" si="1"/>
        <v>1082858092.3798149</v>
      </c>
      <c r="N21" s="128">
        <f t="shared" si="2"/>
        <v>1195682967.9522717</v>
      </c>
      <c r="O21" s="128">
        <f t="shared" si="3"/>
        <v>1244273235.4371889</v>
      </c>
      <c r="P21" s="128">
        <f>E21*$G$38</f>
        <v>1330369285.8232529</v>
      </c>
      <c r="Q21" s="9">
        <f t="shared" si="5"/>
        <v>1581733476.0265839</v>
      </c>
      <c r="R21" s="9">
        <f t="shared" si="6"/>
        <v>1812064624.3063354</v>
      </c>
      <c r="S21" s="9">
        <f t="shared" si="7"/>
        <v>1875907833.5054073</v>
      </c>
      <c r="T21" s="9">
        <f t="shared" si="8"/>
        <v>1997489066.5673399</v>
      </c>
      <c r="U21" s="9">
        <f t="shared" si="9"/>
        <v>2084317365.7082059</v>
      </c>
      <c r="V21" s="9">
        <f t="shared" si="14"/>
        <v>2203459157.0393524</v>
      </c>
      <c r="W21" s="144">
        <f>L21*$G$45</f>
        <v>2366581899</v>
      </c>
      <c r="X21" s="252"/>
      <c r="Y21" s="129">
        <f t="shared" si="12"/>
        <v>0.10419174623749615</v>
      </c>
      <c r="Z21" s="129">
        <f t="shared" si="13"/>
        <v>4.0638086171063327E-2</v>
      </c>
      <c r="AA21" s="129">
        <f t="shared" si="13"/>
        <v>6.919384580012547E-2</v>
      </c>
      <c r="AB21" s="129">
        <f t="shared" si="13"/>
        <v>0.18894317005205286</v>
      </c>
      <c r="AC21" s="129">
        <f t="shared" si="13"/>
        <v>0.14561944333274035</v>
      </c>
      <c r="AD21" s="129">
        <f t="shared" si="13"/>
        <v>3.5232302613661629E-2</v>
      </c>
      <c r="AE21" s="129">
        <f>(T21-S21)/S21</f>
        <v>6.4811943790831286E-2</v>
      </c>
      <c r="AF21" s="129">
        <f t="shared" si="13"/>
        <v>4.3468723105493337E-2</v>
      </c>
      <c r="AG21" s="129">
        <f t="shared" si="13"/>
        <v>5.716106063851014E-2</v>
      </c>
      <c r="AH21" s="148">
        <f>(W21-V21)/V21</f>
        <v>7.4030299785463327E-2</v>
      </c>
    </row>
    <row r="22" spans="1:34">
      <c r="J22" s="106"/>
      <c r="W22" s="161"/>
      <c r="X22" s="161"/>
    </row>
    <row r="23" spans="1:34">
      <c r="L23" s="164"/>
      <c r="W23" s="164">
        <v>418751824</v>
      </c>
      <c r="X23" s="164"/>
    </row>
    <row r="24" spans="1:34">
      <c r="A24" s="107" t="s">
        <v>98</v>
      </c>
      <c r="B24"/>
      <c r="C24"/>
      <c r="J24" s="163"/>
      <c r="K24" s="163"/>
      <c r="L24" s="164"/>
      <c r="T24" s="65" t="s">
        <v>147</v>
      </c>
      <c r="U24" s="65">
        <v>22728030</v>
      </c>
      <c r="W24" s="153">
        <f>W6/W23</f>
        <v>9.7565561887558494E-2</v>
      </c>
      <c r="X24" s="153"/>
      <c r="Y24" s="116"/>
    </row>
    <row r="25" spans="1:34">
      <c r="A25"/>
      <c r="B25"/>
      <c r="C25"/>
      <c r="J25" s="116"/>
      <c r="K25" s="116"/>
      <c r="L25" s="116"/>
      <c r="T25" t="s">
        <v>87</v>
      </c>
      <c r="U25" s="231">
        <v>255808793</v>
      </c>
      <c r="W25" s="60">
        <f>W6/W21</f>
        <v>1.7263614251957059E-2</v>
      </c>
      <c r="X25" s="60"/>
      <c r="Y25" s="116"/>
      <c r="Z25" s="116"/>
    </row>
    <row r="26" spans="1:34" ht="60">
      <c r="A26" s="108" t="s">
        <v>99</v>
      </c>
      <c r="B26" s="109" t="s">
        <v>100</v>
      </c>
      <c r="C26" s="110"/>
      <c r="D26" s="68"/>
      <c r="E26" s="98"/>
      <c r="T26"/>
      <c r="U26" s="153">
        <f>U24/U25</f>
        <v>8.8847727763603501E-2</v>
      </c>
    </row>
    <row r="27" spans="1:34" ht="15.75">
      <c r="A27" s="111">
        <v>40148</v>
      </c>
      <c r="B27" s="112">
        <v>90.28</v>
      </c>
      <c r="C27" s="110"/>
      <c r="D27" s="113">
        <f>$B$33/B27</f>
        <v>1.2171023482498893</v>
      </c>
      <c r="E27" s="98"/>
      <c r="U27" s="232">
        <f>U24/W21</f>
        <v>9.6037369379034527E-3</v>
      </c>
      <c r="X27" s="254" t="s">
        <v>198</v>
      </c>
      <c r="Y27" s="255">
        <v>18001964</v>
      </c>
    </row>
    <row r="28" spans="1:34" ht="15.75">
      <c r="A28" s="111">
        <v>40513</v>
      </c>
      <c r="B28" s="112">
        <v>92.97</v>
      </c>
      <c r="C28" s="110"/>
      <c r="D28" s="113">
        <f t="shared" ref="D28:D33" si="17">$B$33/B28</f>
        <v>1.1818866300957298</v>
      </c>
      <c r="E28" s="98"/>
      <c r="U28" s="116"/>
      <c r="X28" s="254" t="s">
        <v>196</v>
      </c>
      <c r="Y28" s="252">
        <v>2366581899000</v>
      </c>
    </row>
    <row r="29" spans="1:34" ht="15.75">
      <c r="A29" s="111">
        <v>40878</v>
      </c>
      <c r="B29" s="112">
        <v>97.09</v>
      </c>
      <c r="C29" s="110"/>
      <c r="D29" s="113">
        <f t="shared" si="17"/>
        <v>1.1317334431970336</v>
      </c>
      <c r="E29" s="98"/>
      <c r="U29" s="116"/>
      <c r="V29" s="116"/>
      <c r="X29" s="254" t="s">
        <v>197</v>
      </c>
      <c r="Y29" s="256">
        <f>Y28/Y27</f>
        <v>131462.42815506129</v>
      </c>
    </row>
    <row r="30" spans="1:34" ht="15.75">
      <c r="A30" s="111">
        <v>41244</v>
      </c>
      <c r="B30" s="112">
        <v>98.53</v>
      </c>
      <c r="C30" s="110"/>
      <c r="D30" s="113">
        <f t="shared" si="17"/>
        <v>1.1151933421293008</v>
      </c>
      <c r="E30" s="98"/>
    </row>
    <row r="31" spans="1:34" ht="15.75">
      <c r="A31" s="111">
        <v>41609</v>
      </c>
      <c r="B31" s="112">
        <v>101.51</v>
      </c>
      <c r="C31" s="110"/>
      <c r="D31" s="113">
        <f t="shared" si="17"/>
        <v>1.0824549305487143</v>
      </c>
      <c r="E31" s="98"/>
      <c r="U31" s="217"/>
    </row>
    <row r="32" spans="1:34" ht="15.75">
      <c r="A32" s="111">
        <v>41974</v>
      </c>
      <c r="B32" s="112">
        <v>106.22</v>
      </c>
      <c r="C32" s="110"/>
      <c r="D32" s="113">
        <f t="shared" si="17"/>
        <v>1.0344567877989079</v>
      </c>
      <c r="E32" s="98"/>
    </row>
    <row r="33" spans="1:24" ht="15.75">
      <c r="A33" s="111">
        <v>42217</v>
      </c>
      <c r="B33" s="112">
        <v>109.88</v>
      </c>
      <c r="C33" s="110"/>
      <c r="D33" s="113">
        <f t="shared" si="17"/>
        <v>1</v>
      </c>
      <c r="E33" s="98"/>
    </row>
    <row r="34" spans="1:24">
      <c r="A34" s="266" t="s">
        <v>109</v>
      </c>
      <c r="B34" s="266"/>
      <c r="C34" s="266"/>
      <c r="E34" s="135" t="s">
        <v>108</v>
      </c>
      <c r="F34" s="135" t="s">
        <v>33</v>
      </c>
      <c r="G34" s="135" t="s">
        <v>110</v>
      </c>
    </row>
    <row r="35" spans="1:24">
      <c r="A35" s="174">
        <v>38687</v>
      </c>
      <c r="B35" s="175">
        <v>84.433999999999997</v>
      </c>
      <c r="C35" s="176">
        <f t="shared" ref="C35:C37" si="18">B35*$B$40/$B$39</f>
        <v>77.293667815858839</v>
      </c>
      <c r="E35" s="130">
        <v>38718</v>
      </c>
      <c r="F35" s="131">
        <v>77.293667815858839</v>
      </c>
      <c r="G35" s="131">
        <f t="shared" ref="G35:G44" si="19">$F$45/F35</f>
        <v>1.4215912260985395</v>
      </c>
      <c r="X35" s="136"/>
    </row>
    <row r="36" spans="1:24">
      <c r="A36" s="174">
        <v>39052</v>
      </c>
      <c r="B36" s="175">
        <v>86.602000000000004</v>
      </c>
      <c r="C36" s="176">
        <f t="shared" si="18"/>
        <v>79.278326505779759</v>
      </c>
      <c r="E36" s="130">
        <v>39083</v>
      </c>
      <c r="F36" s="131">
        <v>79.278326505779759</v>
      </c>
      <c r="G36" s="131">
        <f t="shared" si="19"/>
        <v>1.3860030205353695</v>
      </c>
    </row>
    <row r="37" spans="1:24">
      <c r="A37" s="174">
        <v>39417</v>
      </c>
      <c r="B37" s="175">
        <v>93.376999999999995</v>
      </c>
      <c r="C37" s="176">
        <f t="shared" si="18"/>
        <v>85.480384911782593</v>
      </c>
      <c r="E37" s="130">
        <v>39448</v>
      </c>
      <c r="F37" s="131">
        <v>85.480384911782593</v>
      </c>
      <c r="G37" s="131">
        <f t="shared" si="19"/>
        <v>1.2854410998897381</v>
      </c>
    </row>
    <row r="38" spans="1:24">
      <c r="A38" s="174">
        <v>39783</v>
      </c>
      <c r="B38" s="175">
        <v>100</v>
      </c>
      <c r="C38" s="176">
        <f>B38*$B$40/$B$39</f>
        <v>91.543297505576959</v>
      </c>
      <c r="E38" s="130">
        <v>39814</v>
      </c>
      <c r="F38" s="131">
        <v>91.543297505576959</v>
      </c>
      <c r="G38" s="131">
        <f t="shared" si="19"/>
        <v>1.2003063358440407</v>
      </c>
    </row>
    <row r="39" spans="1:24">
      <c r="A39" s="174">
        <v>40148</v>
      </c>
      <c r="B39" s="175">
        <v>98.62</v>
      </c>
      <c r="C39" s="177"/>
      <c r="E39" s="130">
        <v>40179</v>
      </c>
      <c r="F39" s="132">
        <v>90.28</v>
      </c>
      <c r="G39" s="131">
        <f t="shared" si="19"/>
        <v>1.2171023482498893</v>
      </c>
    </row>
    <row r="40" spans="1:24" ht="15.75">
      <c r="A40" s="173">
        <v>40148</v>
      </c>
      <c r="B40" s="175">
        <v>90.28</v>
      </c>
      <c r="C40" s="178">
        <f>B40</f>
        <v>90.28</v>
      </c>
      <c r="E40" s="130">
        <v>40544</v>
      </c>
      <c r="F40" s="133">
        <v>92.97</v>
      </c>
      <c r="G40" s="131">
        <f t="shared" si="19"/>
        <v>1.1818866300957298</v>
      </c>
    </row>
    <row r="41" spans="1:24" ht="15.75">
      <c r="A41" s="173">
        <v>40513</v>
      </c>
      <c r="B41" s="175">
        <v>92.97</v>
      </c>
      <c r="C41" s="179">
        <f t="shared" ref="C41:C45" si="20">B41</f>
        <v>92.97</v>
      </c>
      <c r="E41" s="130">
        <v>40909</v>
      </c>
      <c r="F41" s="133">
        <v>97.09</v>
      </c>
      <c r="G41" s="131">
        <f t="shared" si="19"/>
        <v>1.1317334431970336</v>
      </c>
      <c r="J41" s="182"/>
      <c r="K41" s="182"/>
    </row>
    <row r="42" spans="1:24" ht="15.75">
      <c r="A42" s="173">
        <v>40878</v>
      </c>
      <c r="B42" s="175">
        <v>97.09</v>
      </c>
      <c r="C42" s="179">
        <f t="shared" si="20"/>
        <v>97.09</v>
      </c>
      <c r="E42" s="130">
        <v>41275</v>
      </c>
      <c r="F42" s="133">
        <v>98.53</v>
      </c>
      <c r="G42" s="131">
        <f t="shared" si="19"/>
        <v>1.1151933421293008</v>
      </c>
      <c r="J42" s="183"/>
      <c r="K42" s="184"/>
    </row>
    <row r="43" spans="1:24" ht="15.75">
      <c r="A43" s="173">
        <v>41244</v>
      </c>
      <c r="B43" s="175">
        <v>98.53</v>
      </c>
      <c r="C43" s="179">
        <f t="shared" si="20"/>
        <v>98.53</v>
      </c>
      <c r="E43" s="130">
        <v>41640</v>
      </c>
      <c r="F43" s="133">
        <v>101.51</v>
      </c>
      <c r="G43" s="131">
        <f t="shared" si="19"/>
        <v>1.0824549305487143</v>
      </c>
      <c r="J43" s="183"/>
      <c r="K43" s="184"/>
    </row>
    <row r="44" spans="1:24" ht="15.75">
      <c r="A44" s="173">
        <v>41609</v>
      </c>
      <c r="B44" s="175">
        <v>101.51</v>
      </c>
      <c r="C44" s="179">
        <f t="shared" si="20"/>
        <v>101.51</v>
      </c>
      <c r="E44" s="130">
        <v>41974</v>
      </c>
      <c r="F44" s="181">
        <v>106.22</v>
      </c>
      <c r="G44" s="131">
        <f t="shared" si="19"/>
        <v>1.0344567877989079</v>
      </c>
      <c r="H44" s="118"/>
      <c r="J44" s="183"/>
      <c r="K44" s="184"/>
    </row>
    <row r="45" spans="1:24" ht="15.75">
      <c r="A45" s="173">
        <v>41944</v>
      </c>
      <c r="B45" s="180">
        <v>106.22</v>
      </c>
      <c r="C45" s="179">
        <f t="shared" si="20"/>
        <v>106.22</v>
      </c>
      <c r="E45" s="134">
        <v>2015</v>
      </c>
      <c r="F45" s="133">
        <v>109.88</v>
      </c>
      <c r="G45" s="131">
        <f>$F$45/F45</f>
        <v>1</v>
      </c>
      <c r="J45" s="183"/>
      <c r="K45" s="184"/>
    </row>
    <row r="46" spans="1:24" ht="15.75">
      <c r="A46" s="173">
        <v>42217</v>
      </c>
      <c r="B46" s="175">
        <v>109.88</v>
      </c>
      <c r="C46" s="179">
        <f>B46</f>
        <v>109.88</v>
      </c>
      <c r="J46" s="183"/>
      <c r="K46" s="184"/>
    </row>
    <row r="47" spans="1:24">
      <c r="J47" s="182"/>
      <c r="K47" s="182"/>
    </row>
    <row r="48" spans="1:24">
      <c r="B48" s="65">
        <v>2015</v>
      </c>
      <c r="C48" s="71">
        <v>2016</v>
      </c>
      <c r="D48" s="170">
        <f>(C49-B49)/B49</f>
        <v>7.9549214467735177E-2</v>
      </c>
      <c r="J48" s="182"/>
      <c r="K48" s="182"/>
    </row>
    <row r="49" spans="1:3">
      <c r="A49" s="65" t="s">
        <v>127</v>
      </c>
      <c r="B49" s="136">
        <v>38942514929</v>
      </c>
      <c r="C49" s="171">
        <v>42040361401</v>
      </c>
    </row>
  </sheetData>
  <mergeCells count="3">
    <mergeCell ref="B1:I1"/>
    <mergeCell ref="J1:T1"/>
    <mergeCell ref="A34:C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presupuesto</vt:lpstr>
      <vt:lpstr>índice</vt:lpstr>
      <vt:lpstr>Hoja1</vt:lpstr>
      <vt:lpstr>Hoja1 (2)</vt:lpstr>
      <vt:lpstr>Hoja1 (3)</vt:lpstr>
      <vt:lpstr>Hoja2</vt:lpstr>
      <vt:lpstr>2016</vt:lpstr>
      <vt:lpstr>evolución 2010-2015</vt:lpstr>
      <vt:lpstr>2016 F</vt:lpstr>
      <vt:lpstr>Programas</vt:lpstr>
      <vt:lpstr>gRAFICOS</vt:lpstr>
      <vt:lpstr>tABLAS</vt:lpstr>
      <vt:lpstr>Hoja6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Gallardo Teran</dc:creator>
  <cp:lastModifiedBy>Maria Luisa Maino Vergara</cp:lastModifiedBy>
  <dcterms:created xsi:type="dcterms:W3CDTF">2013-12-19T13:40:23Z</dcterms:created>
  <dcterms:modified xsi:type="dcterms:W3CDTF">2016-06-21T15:28:30Z</dcterms:modified>
</cp:coreProperties>
</file>